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C:\Users\jackw\OneDrive\New Galileo\Exodus Energy LLC\Innov8 SPV\"/>
    </mc:Choice>
  </mc:AlternateContent>
  <xr:revisionPtr revIDLastSave="0" documentId="13_ncr:1_{C196A25E-D113-4DAC-9FB6-7281BFF2C3BC}" xr6:coauthVersionLast="47" xr6:coauthVersionMax="47" xr10:uidLastSave="{00000000-0000-0000-0000-000000000000}"/>
  <bookViews>
    <workbookView xWindow="-103" yWindow="-103" windowWidth="22149" windowHeight="13200" tabRatio="695" xr2:uid="{00000000-000D-0000-FFFF-FFFF00000000}"/>
  </bookViews>
  <sheets>
    <sheet name="Table of Contents" sheetId="1" r:id="rId1"/>
    <sheet name="Budget First 84 months" sheetId="2" r:id="rId2"/>
    <sheet name="Sukuk Invest. &amp; Secured Notes" sheetId="4" r:id="rId3"/>
    <sheet name="Debt Service Coverage Ratio" sheetId="3" r:id="rId4"/>
    <sheet name="Asset List &amp; Value" sheetId="5" r:id="rId5"/>
    <sheet name="Residual Value after 7 years" sheetId="20" r:id="rId6"/>
    <sheet name="Processing Equipment" sheetId="6" r:id="rId7"/>
    <sheet name="Equipment Diagram &amp; Monitoring" sheetId="19" r:id="rId8"/>
    <sheet name="Hydrogen Calculations" sheetId="7" r:id="rId9"/>
    <sheet name="Gases Calculation" sheetId="8" r:id="rId10"/>
    <sheet name="JV1A Recomplete Wells 1-2 50%WI" sheetId="9" r:id="rId11"/>
    <sheet name=" JV 1A Wells 3-5 50%WI" sheetId="10" r:id="rId12"/>
    <sheet name="JV 1B  Wells 95%WI" sheetId="11" r:id="rId13"/>
    <sheet name="JV2 High Creeek Wells 50%W.I." sheetId="12" r:id="rId14"/>
    <sheet name="JV3 High Creek Wells 100%WI" sheetId="13" r:id="rId15"/>
    <sheet name="1-Well Est. w Decline Rates" sheetId="14" r:id="rId16"/>
    <sheet name="AFE for Wells" sheetId="15" r:id="rId17"/>
    <sheet name="Overahead Exp." sheetId="16" r:id="rId18"/>
    <sheet name="Field Operations" sheetId="17" r:id="rId19"/>
    <sheet name="DOE Loan" sheetId="18" state="hidden" r:id="rId20"/>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G22" i="17" l="1"/>
  <c r="CH22" i="17"/>
  <c r="CI22" i="17"/>
  <c r="CJ22" i="17"/>
  <c r="CK22" i="17"/>
  <c r="CL22" i="17"/>
  <c r="CM22" i="17"/>
  <c r="CN22" i="17"/>
  <c r="CO22" i="17"/>
  <c r="CP22" i="17"/>
  <c r="CQ22" i="17"/>
  <c r="CF22" i="17"/>
  <c r="BT22" i="17"/>
  <c r="BU22" i="17"/>
  <c r="BV22" i="17"/>
  <c r="BW22" i="17"/>
  <c r="BX22" i="17"/>
  <c r="BY22" i="17"/>
  <c r="BZ22" i="17"/>
  <c r="CA22" i="17"/>
  <c r="CB22" i="17"/>
  <c r="CC22" i="17"/>
  <c r="CD22" i="17"/>
  <c r="BS22" i="17"/>
  <c r="BG22" i="17"/>
  <c r="BH22" i="17"/>
  <c r="BI22" i="17"/>
  <c r="BJ22" i="17"/>
  <c r="BK22" i="17"/>
  <c r="BL22" i="17"/>
  <c r="BM22" i="17"/>
  <c r="BN22" i="17"/>
  <c r="BO22" i="17"/>
  <c r="BP22" i="17"/>
  <c r="BQ22" i="17"/>
  <c r="BF22" i="17"/>
  <c r="AT22" i="17"/>
  <c r="AU22" i="17"/>
  <c r="AV22" i="17"/>
  <c r="AW22" i="17"/>
  <c r="AX22" i="17"/>
  <c r="AY22" i="17"/>
  <c r="AZ22" i="17"/>
  <c r="BA22" i="17"/>
  <c r="BB22" i="17"/>
  <c r="BC22" i="17"/>
  <c r="BD22" i="17"/>
  <c r="AS22" i="17"/>
  <c r="AG22" i="17"/>
  <c r="AH22" i="17"/>
  <c r="AI22" i="17"/>
  <c r="AJ22" i="17"/>
  <c r="AK22" i="17"/>
  <c r="AL22" i="17"/>
  <c r="AM22" i="17"/>
  <c r="AN22" i="17"/>
  <c r="AO22" i="17"/>
  <c r="AP22" i="17"/>
  <c r="AQ22" i="17"/>
  <c r="AF22" i="17"/>
  <c r="T22" i="17"/>
  <c r="U22" i="17"/>
  <c r="V22" i="17"/>
  <c r="W22" i="17"/>
  <c r="X22" i="17"/>
  <c r="Y22" i="17"/>
  <c r="Z22" i="17"/>
  <c r="AA22" i="17"/>
  <c r="AB22" i="17"/>
  <c r="AC22" i="17"/>
  <c r="AD22" i="17"/>
  <c r="S22" i="17"/>
  <c r="M22" i="17"/>
  <c r="N22" i="17"/>
  <c r="O22" i="17"/>
  <c r="P22" i="17"/>
  <c r="Q22" i="17"/>
  <c r="L22" i="17"/>
  <c r="L24" i="17"/>
  <c r="CQ24" i="17"/>
  <c r="CP24" i="17"/>
  <c r="CO24" i="17"/>
  <c r="CN24" i="17"/>
  <c r="CM24" i="17"/>
  <c r="CL24" i="17"/>
  <c r="CK24" i="17"/>
  <c r="CJ24" i="17"/>
  <c r="CI24" i="17"/>
  <c r="CH24" i="17"/>
  <c r="CG24" i="17"/>
  <c r="CF24" i="17"/>
  <c r="CD24" i="17"/>
  <c r="CC24" i="17"/>
  <c r="CB24" i="17"/>
  <c r="CA24" i="17"/>
  <c r="BZ24" i="17"/>
  <c r="BY24" i="17"/>
  <c r="BX24" i="17"/>
  <c r="BW24" i="17"/>
  <c r="BV24" i="17"/>
  <c r="BU24" i="17"/>
  <c r="BT24" i="17"/>
  <c r="BS24" i="17"/>
  <c r="BQ24" i="17"/>
  <c r="BP24" i="17"/>
  <c r="BO24" i="17"/>
  <c r="BN24" i="17"/>
  <c r="BM24" i="17"/>
  <c r="BL24" i="17"/>
  <c r="BK24" i="17"/>
  <c r="BJ24" i="17"/>
  <c r="BI24" i="17"/>
  <c r="BH24" i="17"/>
  <c r="BG24" i="17"/>
  <c r="BF24" i="17"/>
  <c r="BD24" i="17"/>
  <c r="BC24" i="17"/>
  <c r="BB24" i="17"/>
  <c r="BA24" i="17"/>
  <c r="AZ24" i="17"/>
  <c r="AY24" i="17"/>
  <c r="AX24" i="17"/>
  <c r="AW24" i="17"/>
  <c r="AV24" i="17"/>
  <c r="AU24" i="17"/>
  <c r="AT24" i="17"/>
  <c r="AS24" i="17"/>
  <c r="AG24" i="17"/>
  <c r="AH24" i="17"/>
  <c r="AI24" i="17"/>
  <c r="AJ24" i="17"/>
  <c r="AK24" i="17"/>
  <c r="AL24" i="17"/>
  <c r="AM24" i="17"/>
  <c r="AN24" i="17"/>
  <c r="AO24" i="17"/>
  <c r="AP24" i="17"/>
  <c r="AQ24" i="17"/>
  <c r="AF24" i="17"/>
  <c r="AR23" i="17"/>
  <c r="BE21" i="17"/>
  <c r="BE23" i="17"/>
  <c r="BE24" i="17"/>
  <c r="T24" i="17"/>
  <c r="U24" i="17"/>
  <c r="V24" i="17"/>
  <c r="W24" i="17"/>
  <c r="X24" i="17"/>
  <c r="Y24" i="17"/>
  <c r="Z24" i="17"/>
  <c r="AA24" i="17"/>
  <c r="AB24" i="17"/>
  <c r="AC24" i="17"/>
  <c r="AD24" i="17"/>
  <c r="S24" i="17"/>
  <c r="N24" i="17"/>
  <c r="O24" i="17"/>
  <c r="P24" i="17"/>
  <c r="Q24" i="17"/>
  <c r="M24" i="17"/>
  <c r="BC173" i="2"/>
  <c r="BA173" i="2"/>
  <c r="BB173" i="2"/>
  <c r="BE173" i="2"/>
  <c r="BA172" i="2"/>
  <c r="BB172" i="2"/>
  <c r="BC172" i="2"/>
  <c r="AR24" i="17" l="1"/>
  <c r="F172" i="2" l="1"/>
  <c r="G172" i="2"/>
  <c r="H172" i="2"/>
  <c r="I172" i="2"/>
  <c r="J172" i="2"/>
  <c r="K172" i="2"/>
  <c r="L172" i="2"/>
  <c r="M172" i="2"/>
  <c r="N172" i="2"/>
  <c r="O172" i="2"/>
  <c r="P172" i="2"/>
  <c r="Q172" i="2"/>
  <c r="R172" i="2"/>
  <c r="S172" i="2"/>
  <c r="T172" i="2"/>
  <c r="U172" i="2"/>
  <c r="V172" i="2"/>
  <c r="W172" i="2"/>
  <c r="X172" i="2"/>
  <c r="Y172" i="2"/>
  <c r="Z172" i="2"/>
  <c r="AA172" i="2"/>
  <c r="AB172" i="2"/>
  <c r="AC172" i="2"/>
  <c r="AD172" i="2"/>
  <c r="E172" i="2"/>
  <c r="E173" i="2"/>
  <c r="AP46" i="2"/>
  <c r="AO46" i="2"/>
  <c r="AN46" i="2"/>
  <c r="AM46" i="2"/>
  <c r="AL46" i="2"/>
  <c r="AK46" i="2"/>
  <c r="AJ46" i="2"/>
  <c r="AI46" i="2"/>
  <c r="AH46" i="2"/>
  <c r="AG46" i="2"/>
  <c r="AF46" i="2"/>
  <c r="T46" i="2"/>
  <c r="V46" i="2"/>
  <c r="X46" i="2"/>
  <c r="Z46" i="2"/>
  <c r="AB46" i="2"/>
  <c r="R46" i="2"/>
  <c r="J46" i="2"/>
  <c r="K46" i="2"/>
  <c r="L46" i="2"/>
  <c r="M46" i="2"/>
  <c r="O46" i="2"/>
  <c r="BD91" i="2"/>
  <c r="BD92" i="2"/>
  <c r="BD93" i="2"/>
  <c r="BD94" i="2"/>
  <c r="BD98" i="2"/>
  <c r="BD99" i="2"/>
  <c r="BD100" i="2"/>
  <c r="BD101" i="2"/>
  <c r="BD102" i="2"/>
  <c r="BD103" i="2"/>
  <c r="BD104" i="2"/>
  <c r="AQ96" i="2"/>
  <c r="AQ95" i="2"/>
  <c r="AQ93" i="2"/>
  <c r="AQ105" i="2"/>
  <c r="CQ117" i="2"/>
  <c r="CQ118" i="2"/>
  <c r="CQ121" i="2"/>
  <c r="CQ122" i="2"/>
  <c r="CQ123" i="2"/>
  <c r="CQ124" i="2"/>
  <c r="CQ125" i="2"/>
  <c r="CQ126" i="2"/>
  <c r="CQ127" i="2"/>
  <c r="CQ128" i="2"/>
  <c r="CQ129" i="2"/>
  <c r="CQ130" i="2"/>
  <c r="CQ133" i="2"/>
  <c r="CQ134" i="2"/>
  <c r="CQ135" i="2"/>
  <c r="CQ136" i="2"/>
  <c r="CQ137" i="2"/>
  <c r="CQ138" i="2"/>
  <c r="CQ139" i="2"/>
  <c r="CQ140" i="2"/>
  <c r="CQ141" i="2"/>
  <c r="CQ142" i="2"/>
  <c r="CQ143" i="2"/>
  <c r="CQ144" i="2"/>
  <c r="CQ145" i="2"/>
  <c r="CQ146" i="2"/>
  <c r="CQ147" i="2"/>
  <c r="CQ148" i="2"/>
  <c r="CQ149" i="2"/>
  <c r="CQ150" i="2"/>
  <c r="CQ151" i="2"/>
  <c r="CQ152" i="2"/>
  <c r="CQ153" i="2"/>
  <c r="CQ154" i="2"/>
  <c r="CQ155" i="2"/>
  <c r="CQ156" i="2"/>
  <c r="CQ157" i="2"/>
  <c r="CQ158" i="2"/>
  <c r="CQ159" i="2"/>
  <c r="CQ160" i="2"/>
  <c r="CQ161" i="2"/>
  <c r="CQ162" i="2"/>
  <c r="CP116" i="2"/>
  <c r="CD117" i="2"/>
  <c r="CD118" i="2"/>
  <c r="CD121" i="2"/>
  <c r="CD122" i="2"/>
  <c r="CD123" i="2"/>
  <c r="CD124" i="2"/>
  <c r="CD125" i="2"/>
  <c r="CD126" i="2"/>
  <c r="CD127" i="2"/>
  <c r="CD128" i="2"/>
  <c r="CD129" i="2"/>
  <c r="CD130" i="2"/>
  <c r="CD133" i="2"/>
  <c r="CD134" i="2"/>
  <c r="CD135" i="2"/>
  <c r="CD136" i="2"/>
  <c r="CD137" i="2"/>
  <c r="CD138" i="2"/>
  <c r="CD139" i="2"/>
  <c r="CD140" i="2"/>
  <c r="CD141" i="2"/>
  <c r="CD142" i="2"/>
  <c r="CD143" i="2"/>
  <c r="CD144" i="2"/>
  <c r="CD145" i="2"/>
  <c r="CD146" i="2"/>
  <c r="CD147" i="2"/>
  <c r="CD148" i="2"/>
  <c r="CD149" i="2"/>
  <c r="CD150" i="2"/>
  <c r="CD151" i="2"/>
  <c r="CD152" i="2"/>
  <c r="CD153" i="2"/>
  <c r="CD154" i="2"/>
  <c r="CD155" i="2"/>
  <c r="CD156" i="2"/>
  <c r="CD157" i="2"/>
  <c r="CD158" i="2"/>
  <c r="CD159" i="2"/>
  <c r="CD160" i="2"/>
  <c r="CD161" i="2"/>
  <c r="CD162" i="2"/>
  <c r="BQ117" i="2"/>
  <c r="BQ118" i="2"/>
  <c r="BD117" i="2"/>
  <c r="BD118" i="2"/>
  <c r="AQ117" i="2"/>
  <c r="AQ118" i="2"/>
  <c r="AQ121" i="2"/>
  <c r="AQ122" i="2"/>
  <c r="AQ123" i="2"/>
  <c r="AQ124" i="2"/>
  <c r="AQ125" i="2"/>
  <c r="AQ126" i="2"/>
  <c r="AQ127" i="2"/>
  <c r="AQ128" i="2"/>
  <c r="AQ129" i="2"/>
  <c r="AQ130" i="2"/>
  <c r="AQ133" i="2"/>
  <c r="AQ134" i="2"/>
  <c r="AQ135" i="2"/>
  <c r="AQ136" i="2"/>
  <c r="AQ137" i="2"/>
  <c r="AQ138" i="2"/>
  <c r="AQ139" i="2"/>
  <c r="AQ140" i="2"/>
  <c r="AQ141" i="2"/>
  <c r="AQ142" i="2"/>
  <c r="AQ143" i="2"/>
  <c r="AQ144" i="2"/>
  <c r="AQ145" i="2"/>
  <c r="AQ146" i="2"/>
  <c r="AQ147" i="2"/>
  <c r="AQ148" i="2"/>
  <c r="AQ149" i="2"/>
  <c r="AQ150" i="2"/>
  <c r="AQ151" i="2"/>
  <c r="AQ152" i="2"/>
  <c r="AQ153" i="2"/>
  <c r="AQ154" i="2"/>
  <c r="AQ155" i="2"/>
  <c r="AQ156" i="2"/>
  <c r="AQ157" i="2"/>
  <c r="AQ158" i="2"/>
  <c r="AQ159" i="2"/>
  <c r="AQ160" i="2"/>
  <c r="AQ161" i="2"/>
  <c r="AQ162" i="2"/>
  <c r="F7" i="4"/>
  <c r="C7" i="2"/>
  <c r="J20" i="7"/>
  <c r="AD65" i="2"/>
  <c r="AD66" i="2"/>
  <c r="M67" i="2"/>
  <c r="Q67" i="2" s="1"/>
  <c r="AD67" i="2" s="1"/>
  <c r="O15" i="7" l="1"/>
  <c r="AD39" i="2"/>
  <c r="AD40" i="2"/>
  <c r="AD41" i="2"/>
  <c r="AD42" i="2"/>
  <c r="AD43" i="2"/>
  <c r="AD44" i="2"/>
  <c r="AD45" i="2"/>
  <c r="AE83" i="2"/>
  <c r="AC82" i="2"/>
  <c r="AC46" i="2" s="1"/>
  <c r="AB81" i="2"/>
  <c r="AA80" i="2"/>
  <c r="AA46" i="2" s="1"/>
  <c r="Z79" i="2"/>
  <c r="AD79" i="2" s="1"/>
  <c r="Y78" i="2"/>
  <c r="Y46" i="2" s="1"/>
  <c r="X77" i="2"/>
  <c r="AD77" i="2" s="1"/>
  <c r="W76" i="2"/>
  <c r="W46" i="2" s="1"/>
  <c r="V75" i="2"/>
  <c r="AD75" i="2" s="1"/>
  <c r="U74" i="2"/>
  <c r="U46" i="2" s="1"/>
  <c r="T73" i="2"/>
  <c r="AD73" i="2" s="1"/>
  <c r="S72" i="2"/>
  <c r="S46" i="2" s="1"/>
  <c r="R71" i="2"/>
  <c r="AD71" i="2" s="1"/>
  <c r="P70" i="2"/>
  <c r="P46" i="2" s="1"/>
  <c r="O69" i="2"/>
  <c r="Q69" i="2" s="1"/>
  <c r="AD69" i="2" s="1"/>
  <c r="N68" i="2"/>
  <c r="N46" i="2" s="1"/>
  <c r="L66" i="2"/>
  <c r="I65" i="2"/>
  <c r="I64" i="2"/>
  <c r="K15" i="7"/>
  <c r="BL5" i="3"/>
  <c r="AG120" i="2"/>
  <c r="BQ133" i="2"/>
  <c r="BQ134" i="2"/>
  <c r="BQ135" i="2"/>
  <c r="BQ136" i="2"/>
  <c r="BQ137" i="2"/>
  <c r="BQ138" i="2"/>
  <c r="BQ139" i="2"/>
  <c r="BQ140" i="2"/>
  <c r="BQ141" i="2"/>
  <c r="BQ142" i="2"/>
  <c r="BQ143" i="2"/>
  <c r="BQ144" i="2"/>
  <c r="BQ145" i="2"/>
  <c r="BQ146" i="2"/>
  <c r="BQ147" i="2"/>
  <c r="BQ148" i="2"/>
  <c r="BQ149" i="2"/>
  <c r="BQ150" i="2"/>
  <c r="BQ151" i="2"/>
  <c r="BQ152" i="2"/>
  <c r="BQ153" i="2"/>
  <c r="BQ154" i="2"/>
  <c r="BQ155" i="2"/>
  <c r="BQ156" i="2"/>
  <c r="BQ157" i="2"/>
  <c r="BQ158" i="2"/>
  <c r="BQ159" i="2"/>
  <c r="BQ160" i="2"/>
  <c r="BQ161" i="2"/>
  <c r="BQ162" i="2"/>
  <c r="BD121" i="2"/>
  <c r="BD122" i="2"/>
  <c r="BD123" i="2"/>
  <c r="BD124" i="2"/>
  <c r="BD125" i="2"/>
  <c r="BD126" i="2"/>
  <c r="BD127" i="2"/>
  <c r="BD128" i="2"/>
  <c r="BD129" i="2"/>
  <c r="BD130" i="2"/>
  <c r="BD133" i="2"/>
  <c r="BD134" i="2"/>
  <c r="BD135" i="2"/>
  <c r="BD136" i="2"/>
  <c r="BD137" i="2"/>
  <c r="BD138" i="2"/>
  <c r="BD139" i="2"/>
  <c r="BD140" i="2"/>
  <c r="BD141" i="2"/>
  <c r="BD142" i="2"/>
  <c r="BD143" i="2"/>
  <c r="BD144" i="2"/>
  <c r="BD145" i="2"/>
  <c r="BD146" i="2"/>
  <c r="BD147" i="2"/>
  <c r="BD148" i="2"/>
  <c r="BD149" i="2"/>
  <c r="BD150" i="2"/>
  <c r="BD151" i="2"/>
  <c r="BD152" i="2"/>
  <c r="BD153" i="2"/>
  <c r="BD154" i="2"/>
  <c r="BD155" i="2"/>
  <c r="BD156" i="2"/>
  <c r="BD157" i="2"/>
  <c r="BD158" i="2"/>
  <c r="BD159" i="2"/>
  <c r="BD160" i="2"/>
  <c r="BD161" i="2"/>
  <c r="BD162" i="2"/>
  <c r="E182" i="2"/>
  <c r="E177" i="2"/>
  <c r="E176" i="2"/>
  <c r="E175" i="2"/>
  <c r="E174" i="2"/>
  <c r="L16" i="2"/>
  <c r="M16" i="2" s="1"/>
  <c r="N16" i="2" s="1"/>
  <c r="O16" i="2" s="1"/>
  <c r="P16" i="2" s="1"/>
  <c r="R16" i="2" s="1"/>
  <c r="S16" i="2" s="1"/>
  <c r="L18" i="2"/>
  <c r="M18" i="2" s="1"/>
  <c r="N18" i="2" s="1"/>
  <c r="O18" i="2" s="1"/>
  <c r="P18" i="2" s="1"/>
  <c r="R18" i="2" s="1"/>
  <c r="S18" i="2" s="1"/>
  <c r="T18" i="2" s="1"/>
  <c r="U18" i="2" s="1"/>
  <c r="V18" i="2" s="1"/>
  <c r="W18" i="2" s="1"/>
  <c r="AF52" i="2"/>
  <c r="AG52" i="2"/>
  <c r="AH52" i="2"/>
  <c r="AI52" i="2"/>
  <c r="AJ52" i="2"/>
  <c r="AK52" i="2"/>
  <c r="AL52" i="2"/>
  <c r="AM52" i="2"/>
  <c r="AN52" i="2"/>
  <c r="AO52" i="2"/>
  <c r="AP52" i="2"/>
  <c r="AR52" i="2"/>
  <c r="AS52" i="2"/>
  <c r="AT52" i="2"/>
  <c r="AU52" i="2"/>
  <c r="AV52" i="2"/>
  <c r="AW52" i="2"/>
  <c r="AX52" i="2"/>
  <c r="AY52" i="2"/>
  <c r="AZ52" i="2"/>
  <c r="BA52" i="2"/>
  <c r="BB52" i="2"/>
  <c r="BC52" i="2"/>
  <c r="BE52" i="2"/>
  <c r="BF52" i="2"/>
  <c r="BG52" i="2"/>
  <c r="BH52" i="2"/>
  <c r="BI52" i="2"/>
  <c r="BJ52" i="2"/>
  <c r="BK52" i="2"/>
  <c r="BL52" i="2"/>
  <c r="BM52" i="2"/>
  <c r="BN52" i="2"/>
  <c r="BO52" i="2"/>
  <c r="BP52" i="2"/>
  <c r="BR52" i="2"/>
  <c r="BS52" i="2"/>
  <c r="BT52" i="2"/>
  <c r="BU52" i="2"/>
  <c r="BV52" i="2"/>
  <c r="BW52" i="2"/>
  <c r="BX52" i="2"/>
  <c r="BY52" i="2"/>
  <c r="BZ52" i="2"/>
  <c r="CA52" i="2"/>
  <c r="CB52" i="2"/>
  <c r="CC52" i="2"/>
  <c r="CE52" i="2"/>
  <c r="CF52" i="2"/>
  <c r="CG52" i="2"/>
  <c r="CH52" i="2"/>
  <c r="CI52" i="2"/>
  <c r="CJ52" i="2"/>
  <c r="CK52" i="2"/>
  <c r="CL52" i="2"/>
  <c r="CM52" i="2"/>
  <c r="CN52" i="2"/>
  <c r="CO52" i="2"/>
  <c r="CP52" i="2"/>
  <c r="CQ52" i="2"/>
  <c r="AE52" i="2"/>
  <c r="S52" i="2"/>
  <c r="T52" i="2"/>
  <c r="U52" i="2"/>
  <c r="V52" i="2"/>
  <c r="W52" i="2"/>
  <c r="X52" i="2"/>
  <c r="Y52" i="2"/>
  <c r="Z52" i="2"/>
  <c r="AA52" i="2"/>
  <c r="AB52" i="2"/>
  <c r="AC52" i="2"/>
  <c r="R52" i="2"/>
  <c r="F52" i="2"/>
  <c r="G52" i="2"/>
  <c r="H52" i="2"/>
  <c r="I52" i="2"/>
  <c r="J52" i="2"/>
  <c r="K52" i="2"/>
  <c r="L52" i="2"/>
  <c r="M52" i="2"/>
  <c r="N52" i="2"/>
  <c r="O52" i="2"/>
  <c r="P52" i="2"/>
  <c r="E52" i="2"/>
  <c r="D14" i="14"/>
  <c r="J22" i="6"/>
  <c r="M18" i="6"/>
  <c r="K17" i="6"/>
  <c r="B18" i="8"/>
  <c r="R17" i="16"/>
  <c r="D17" i="16" s="1"/>
  <c r="AE17" i="16"/>
  <c r="AR17" i="16"/>
  <c r="BE17" i="16"/>
  <c r="BR17" i="16"/>
  <c r="CE17" i="16"/>
  <c r="CR17" i="16"/>
  <c r="K12" i="7"/>
  <c r="F49" i="18"/>
  <c r="C47" i="18"/>
  <c r="F35" i="18"/>
  <c r="C33" i="18"/>
  <c r="F21" i="18"/>
  <c r="C19" i="18"/>
  <c r="F7" i="18"/>
  <c r="C5" i="18"/>
  <c r="C30" i="17"/>
  <c r="C29" i="17"/>
  <c r="CR25" i="17"/>
  <c r="CE25" i="17"/>
  <c r="BR25" i="17"/>
  <c r="BE25" i="17"/>
  <c r="AR25" i="17"/>
  <c r="AE25" i="17"/>
  <c r="R25" i="17"/>
  <c r="D25" i="17" s="1"/>
  <c r="R23" i="17"/>
  <c r="F21" i="17"/>
  <c r="G21" i="17"/>
  <c r="F20" i="17"/>
  <c r="CR19" i="17"/>
  <c r="CE19" i="17"/>
  <c r="BR19" i="17"/>
  <c r="BE19" i="17"/>
  <c r="AR19" i="17"/>
  <c r="AE19" i="17"/>
  <c r="R19" i="17"/>
  <c r="D19" i="17" s="1"/>
  <c r="F16" i="17"/>
  <c r="G15" i="17"/>
  <c r="G14" i="17"/>
  <c r="G13" i="17"/>
  <c r="H13" i="17"/>
  <c r="I13" i="17"/>
  <c r="J13" i="17"/>
  <c r="G12" i="17"/>
  <c r="G11" i="17"/>
  <c r="H11" i="17"/>
  <c r="I11" i="17"/>
  <c r="J11" i="17"/>
  <c r="K11" i="17"/>
  <c r="L11" i="17"/>
  <c r="M11" i="17"/>
  <c r="N11" i="17"/>
  <c r="O11" i="17"/>
  <c r="P11" i="17"/>
  <c r="Q11" i="17"/>
  <c r="S11" i="17"/>
  <c r="G10" i="17"/>
  <c r="G9" i="17"/>
  <c r="G8" i="17"/>
  <c r="G7" i="17"/>
  <c r="H7" i="17"/>
  <c r="G6" i="17"/>
  <c r="G5" i="17"/>
  <c r="H5" i="17"/>
  <c r="I5" i="17"/>
  <c r="J5" i="17"/>
  <c r="K5" i="17"/>
  <c r="L5" i="17"/>
  <c r="M5" i="17"/>
  <c r="N5" i="17"/>
  <c r="O5" i="17"/>
  <c r="P5" i="17"/>
  <c r="Q5" i="17"/>
  <c r="S5" i="17"/>
  <c r="G4" i="17"/>
  <c r="G16" i="17"/>
  <c r="CG18" i="16"/>
  <c r="CH18" i="16" s="1"/>
  <c r="CI18" i="16" s="1"/>
  <c r="BT18" i="16"/>
  <c r="BG18" i="16"/>
  <c r="BH18" i="16"/>
  <c r="BI18" i="16" s="1"/>
  <c r="BJ18" i="16" s="1"/>
  <c r="BK18" i="16" s="1"/>
  <c r="BL18" i="16" s="1"/>
  <c r="BM18" i="16" s="1"/>
  <c r="BN18" i="16" s="1"/>
  <c r="BO18" i="16" s="1"/>
  <c r="BP18" i="16" s="1"/>
  <c r="BQ18" i="16" s="1"/>
  <c r="AT18" i="16"/>
  <c r="AG18" i="16"/>
  <c r="AH18" i="16"/>
  <c r="AI18" i="16" s="1"/>
  <c r="AJ18" i="16" s="1"/>
  <c r="AK18" i="16" s="1"/>
  <c r="AL18" i="16" s="1"/>
  <c r="AM18" i="16" s="1"/>
  <c r="AN18" i="16" s="1"/>
  <c r="AO18" i="16" s="1"/>
  <c r="AP18" i="16" s="1"/>
  <c r="AQ18" i="16" s="1"/>
  <c r="T18" i="16"/>
  <c r="G18" i="16"/>
  <c r="H18" i="16"/>
  <c r="I18" i="16" s="1"/>
  <c r="J18" i="16" s="1"/>
  <c r="K18" i="16" s="1"/>
  <c r="L18" i="16" s="1"/>
  <c r="M18" i="16" s="1"/>
  <c r="N18" i="16" s="1"/>
  <c r="O18" i="16" s="1"/>
  <c r="P18" i="16" s="1"/>
  <c r="Q18" i="16" s="1"/>
  <c r="CF16" i="16"/>
  <c r="CG16" i="16" s="1"/>
  <c r="BS16" i="16"/>
  <c r="BT16" i="16" s="1"/>
  <c r="BU16" i="16" s="1"/>
  <c r="BV16" i="16" s="1"/>
  <c r="BW16" i="16" s="1"/>
  <c r="BX16" i="16" s="1"/>
  <c r="BY16" i="16" s="1"/>
  <c r="BZ16" i="16" s="1"/>
  <c r="CA16" i="16" s="1"/>
  <c r="CB16" i="16" s="1"/>
  <c r="CC16" i="16" s="1"/>
  <c r="CD16" i="16" s="1"/>
  <c r="BF16" i="16"/>
  <c r="BG16" i="16"/>
  <c r="BH16" i="16"/>
  <c r="BI16" i="16"/>
  <c r="BJ16" i="16"/>
  <c r="BK16" i="16"/>
  <c r="BL16" i="16"/>
  <c r="BM16" i="16"/>
  <c r="BN16" i="16"/>
  <c r="BO16" i="16" s="1"/>
  <c r="BP16" i="16" s="1"/>
  <c r="BQ16" i="16" s="1"/>
  <c r="AT16" i="16"/>
  <c r="AR16" i="16"/>
  <c r="T16" i="16"/>
  <c r="G16" i="16"/>
  <c r="CR15" i="16"/>
  <c r="CE15" i="16"/>
  <c r="BR15" i="16"/>
  <c r="BE15" i="16"/>
  <c r="AR15" i="16"/>
  <c r="D15" i="16" s="1"/>
  <c r="AE15" i="16"/>
  <c r="R15" i="16"/>
  <c r="CR14" i="16"/>
  <c r="CE14" i="16"/>
  <c r="BR14" i="16"/>
  <c r="BE14" i="16"/>
  <c r="AR14" i="16"/>
  <c r="S14" i="16"/>
  <c r="T14" i="16" s="1"/>
  <c r="R14" i="16"/>
  <c r="CR13" i="16"/>
  <c r="CE13" i="16"/>
  <c r="BR13" i="16"/>
  <c r="BE13" i="16"/>
  <c r="AR13" i="16"/>
  <c r="S13" i="16"/>
  <c r="R13" i="16"/>
  <c r="G12" i="16"/>
  <c r="H12" i="16"/>
  <c r="I12" i="16" s="1"/>
  <c r="J12" i="16" s="1"/>
  <c r="K12" i="16" s="1"/>
  <c r="L12" i="16" s="1"/>
  <c r="M12" i="16" s="1"/>
  <c r="N12" i="16" s="1"/>
  <c r="O12" i="16" s="1"/>
  <c r="P12" i="16" s="1"/>
  <c r="Q12" i="16" s="1"/>
  <c r="S12" i="16" s="1"/>
  <c r="G11" i="16"/>
  <c r="F10" i="16"/>
  <c r="G9" i="16"/>
  <c r="AG8" i="16"/>
  <c r="G8" i="16"/>
  <c r="G7" i="16"/>
  <c r="H7" i="16"/>
  <c r="I7" i="16" s="1"/>
  <c r="J7" i="16" s="1"/>
  <c r="K7" i="16" s="1"/>
  <c r="L7" i="16" s="1"/>
  <c r="M7" i="16" s="1"/>
  <c r="N7" i="16" s="1"/>
  <c r="O7" i="16" s="1"/>
  <c r="P7" i="16" s="1"/>
  <c r="Q7" i="16" s="1"/>
  <c r="S7" i="16" s="1"/>
  <c r="AG6" i="16"/>
  <c r="AH6" i="16" s="1"/>
  <c r="AI6" i="16" s="1"/>
  <c r="AJ6" i="16" s="1"/>
  <c r="AK6" i="16" s="1"/>
  <c r="AL6" i="16" s="1"/>
  <c r="AM6" i="16" s="1"/>
  <c r="AN6" i="16" s="1"/>
  <c r="AO6" i="16" s="1"/>
  <c r="AP6" i="16" s="1"/>
  <c r="AQ6" i="16" s="1"/>
  <c r="AS6" i="16" s="1"/>
  <c r="G6" i="16"/>
  <c r="H6" i="16"/>
  <c r="I6" i="16"/>
  <c r="J6" i="16" s="1"/>
  <c r="K6" i="16" s="1"/>
  <c r="L6" i="16" s="1"/>
  <c r="M6" i="16" s="1"/>
  <c r="N6" i="16" s="1"/>
  <c r="O6" i="16" s="1"/>
  <c r="P6" i="16" s="1"/>
  <c r="Q6" i="16" s="1"/>
  <c r="S6" i="16" s="1"/>
  <c r="AQ5" i="16"/>
  <c r="AS5" i="16" s="1"/>
  <c r="AP5" i="16"/>
  <c r="AO5" i="16"/>
  <c r="AN5" i="16"/>
  <c r="AM5" i="16"/>
  <c r="AL5" i="16"/>
  <c r="AK5" i="16"/>
  <c r="AJ5" i="16"/>
  <c r="AI5" i="16"/>
  <c r="AH5" i="16"/>
  <c r="AG5" i="16"/>
  <c r="AF5" i="16"/>
  <c r="G5" i="16"/>
  <c r="AG4" i="16"/>
  <c r="AH4" i="16" s="1"/>
  <c r="AI4" i="16" s="1"/>
  <c r="G4" i="16"/>
  <c r="H4" i="16"/>
  <c r="I4" i="16"/>
  <c r="C31" i="15"/>
  <c r="F30" i="15"/>
  <c r="C24" i="15"/>
  <c r="F17" i="15"/>
  <c r="O18" i="14"/>
  <c r="P18" i="14" s="1"/>
  <c r="Q18" i="14" s="1"/>
  <c r="R18" i="14" s="1"/>
  <c r="S18" i="14" s="1"/>
  <c r="T18" i="14" s="1"/>
  <c r="U18" i="14" s="1"/>
  <c r="V18" i="14" s="1"/>
  <c r="D13" i="14"/>
  <c r="D12" i="14"/>
  <c r="D11" i="14"/>
  <c r="D10" i="14"/>
  <c r="O9" i="14"/>
  <c r="P9" i="14" s="1"/>
  <c r="D9" i="14"/>
  <c r="N8" i="14"/>
  <c r="P8" i="14" s="1"/>
  <c r="F8" i="14"/>
  <c r="F9" i="14"/>
  <c r="F10" i="14" s="1"/>
  <c r="F11" i="14" s="1"/>
  <c r="F12" i="14" s="1"/>
  <c r="F13" i="14" s="1"/>
  <c r="F14" i="14" s="1"/>
  <c r="E8" i="14"/>
  <c r="B7" i="13"/>
  <c r="B5" i="13"/>
  <c r="B4" i="13"/>
  <c r="B7" i="12"/>
  <c r="B5" i="12"/>
  <c r="B4" i="12"/>
  <c r="B7" i="11"/>
  <c r="B5" i="11"/>
  <c r="B4" i="11"/>
  <c r="B7" i="10"/>
  <c r="B5" i="10"/>
  <c r="B4" i="10"/>
  <c r="B7" i="9"/>
  <c r="B5" i="9"/>
  <c r="B4" i="9"/>
  <c r="F6" i="8"/>
  <c r="D6" i="8"/>
  <c r="B5" i="8"/>
  <c r="F3" i="8"/>
  <c r="I39" i="7"/>
  <c r="I38" i="7"/>
  <c r="I37" i="7"/>
  <c r="I36" i="7"/>
  <c r="I35" i="7"/>
  <c r="I34" i="7"/>
  <c r="I33" i="7"/>
  <c r="I32" i="7"/>
  <c r="I31" i="7"/>
  <c r="I30" i="7"/>
  <c r="C30" i="7"/>
  <c r="C31" i="7" s="1"/>
  <c r="C32" i="7" s="1"/>
  <c r="I29" i="7"/>
  <c r="I28" i="7"/>
  <c r="I27" i="7"/>
  <c r="C27" i="7"/>
  <c r="C28" i="7" s="1"/>
  <c r="I26" i="7"/>
  <c r="I25" i="7"/>
  <c r="I24" i="7"/>
  <c r="I23" i="7"/>
  <c r="I22" i="7"/>
  <c r="I21" i="7"/>
  <c r="I20" i="7"/>
  <c r="L9" i="7"/>
  <c r="N8" i="7"/>
  <c r="K7" i="7"/>
  <c r="G20" i="6"/>
  <c r="I86" i="2"/>
  <c r="E15" i="6"/>
  <c r="E10" i="6"/>
  <c r="E22" i="5"/>
  <c r="E10" i="5"/>
  <c r="E9" i="5"/>
  <c r="E8" i="5"/>
  <c r="E7" i="5"/>
  <c r="E6" i="5"/>
  <c r="E5" i="5"/>
  <c r="E4" i="5"/>
  <c r="F341" i="4"/>
  <c r="F327" i="4"/>
  <c r="F328" i="4" s="1"/>
  <c r="B331" i="4"/>
  <c r="B335" i="4" s="1"/>
  <c r="C331" i="4" s="1"/>
  <c r="F313" i="4"/>
  <c r="F299" i="4"/>
  <c r="B303" i="4"/>
  <c r="F285" i="4"/>
  <c r="B289" i="4"/>
  <c r="F271" i="4"/>
  <c r="B275" i="4"/>
  <c r="B279" i="4" s="1"/>
  <c r="C275" i="4" s="1"/>
  <c r="F257" i="4"/>
  <c r="F258" i="4" s="1"/>
  <c r="F243" i="4"/>
  <c r="C241" i="4"/>
  <c r="F228" i="4"/>
  <c r="C226" i="4"/>
  <c r="B232" i="4" s="1"/>
  <c r="B236" i="4" s="1"/>
  <c r="C232" i="4" s="1"/>
  <c r="C236" i="4" s="1"/>
  <c r="D232" i="4" s="1"/>
  <c r="D236" i="4" s="1"/>
  <c r="E232" i="4" s="1"/>
  <c r="E236" i="4" s="1"/>
  <c r="F232" i="4" s="1"/>
  <c r="F236" i="4" s="1"/>
  <c r="G232" i="4" s="1"/>
  <c r="G236" i="4" s="1"/>
  <c r="H232" i="4" s="1"/>
  <c r="H236" i="4" s="1"/>
  <c r="I232" i="4" s="1"/>
  <c r="I236" i="4" s="1"/>
  <c r="J232" i="4" s="1"/>
  <c r="J236" i="4" s="1"/>
  <c r="K232" i="4" s="1"/>
  <c r="K236" i="4" s="1"/>
  <c r="L232" i="4" s="1"/>
  <c r="L236" i="4" s="1"/>
  <c r="M232" i="4" s="1"/>
  <c r="M236" i="4" s="1"/>
  <c r="N232" i="4" s="1"/>
  <c r="N236" i="4" s="1"/>
  <c r="O232" i="4" s="1"/>
  <c r="F213" i="4"/>
  <c r="C211" i="4"/>
  <c r="B217" i="4" s="1"/>
  <c r="B221" i="4" s="1"/>
  <c r="C217" i="4" s="1"/>
  <c r="C221" i="4" s="1"/>
  <c r="D217" i="4" s="1"/>
  <c r="D221" i="4" s="1"/>
  <c r="E217" i="4" s="1"/>
  <c r="E221" i="4" s="1"/>
  <c r="F217" i="4" s="1"/>
  <c r="F221" i="4" s="1"/>
  <c r="G217" i="4" s="1"/>
  <c r="G221" i="4" s="1"/>
  <c r="H217" i="4" s="1"/>
  <c r="H221" i="4" s="1"/>
  <c r="I217" i="4" s="1"/>
  <c r="I221" i="4" s="1"/>
  <c r="J217" i="4" s="1"/>
  <c r="J221" i="4" s="1"/>
  <c r="K217" i="4" s="1"/>
  <c r="K221" i="4" s="1"/>
  <c r="L217" i="4" s="1"/>
  <c r="L221" i="4" s="1"/>
  <c r="M217" i="4" s="1"/>
  <c r="F198" i="4"/>
  <c r="C196" i="4"/>
  <c r="B202" i="4" s="1"/>
  <c r="B206" i="4" s="1"/>
  <c r="C202" i="4" s="1"/>
  <c r="C206" i="4" s="1"/>
  <c r="D202" i="4" s="1"/>
  <c r="D206" i="4" s="1"/>
  <c r="E202" i="4" s="1"/>
  <c r="E206" i="4" s="1"/>
  <c r="C181" i="4"/>
  <c r="F168" i="4"/>
  <c r="C166" i="4"/>
  <c r="B172" i="4" s="1"/>
  <c r="B176" i="4" s="1"/>
  <c r="C172" i="4" s="1"/>
  <c r="C176" i="4" s="1"/>
  <c r="D172" i="4" s="1"/>
  <c r="D176" i="4" s="1"/>
  <c r="E172" i="4" s="1"/>
  <c r="E176" i="4" s="1"/>
  <c r="F172" i="4" s="1"/>
  <c r="F176" i="4" s="1"/>
  <c r="G172" i="4" s="1"/>
  <c r="G176" i="4" s="1"/>
  <c r="H172" i="4" s="1"/>
  <c r="H176" i="4" s="1"/>
  <c r="I172" i="4" s="1"/>
  <c r="I176" i="4" s="1"/>
  <c r="J172" i="4" s="1"/>
  <c r="J176" i="4" s="1"/>
  <c r="K172" i="4" s="1"/>
  <c r="K176" i="4" s="1"/>
  <c r="L172" i="4" s="1"/>
  <c r="L176" i="4" s="1"/>
  <c r="M172" i="4" s="1"/>
  <c r="M176" i="4" s="1"/>
  <c r="N172" i="4" s="1"/>
  <c r="N176" i="4" s="1"/>
  <c r="O172" i="4" s="1"/>
  <c r="O176" i="4" s="1"/>
  <c r="P172" i="4" s="1"/>
  <c r="P176" i="4" s="1"/>
  <c r="Q172" i="4" s="1"/>
  <c r="Q176" i="4" s="1"/>
  <c r="R172" i="4" s="1"/>
  <c r="R176" i="4" s="1"/>
  <c r="S172" i="4" s="1"/>
  <c r="S176" i="4" s="1"/>
  <c r="T172" i="4" s="1"/>
  <c r="T176" i="4" s="1"/>
  <c r="U172" i="4" s="1"/>
  <c r="U176" i="4" s="1"/>
  <c r="V172" i="4" s="1"/>
  <c r="V176" i="4" s="1"/>
  <c r="W172" i="4" s="1"/>
  <c r="W176" i="4" s="1"/>
  <c r="X172" i="4" s="1"/>
  <c r="X176" i="4" s="1"/>
  <c r="Y172" i="4" s="1"/>
  <c r="Y176" i="4" s="1"/>
  <c r="F153" i="4"/>
  <c r="C151" i="4"/>
  <c r="B157" i="4" s="1"/>
  <c r="B161" i="4" s="1"/>
  <c r="F138" i="4"/>
  <c r="C136" i="4"/>
  <c r="B142" i="4" s="1"/>
  <c r="B146" i="4" s="1"/>
  <c r="C142" i="4" s="1"/>
  <c r="C146" i="4" s="1"/>
  <c r="D142" i="4" s="1"/>
  <c r="D146" i="4" s="1"/>
  <c r="E142" i="4" s="1"/>
  <c r="E146" i="4" s="1"/>
  <c r="F142" i="4" s="1"/>
  <c r="F146" i="4" s="1"/>
  <c r="G142" i="4" s="1"/>
  <c r="G146" i="4" s="1"/>
  <c r="H142" i="4" s="1"/>
  <c r="H146" i="4" s="1"/>
  <c r="I142" i="4" s="1"/>
  <c r="I146" i="4" s="1"/>
  <c r="J142" i="4" s="1"/>
  <c r="J146" i="4" s="1"/>
  <c r="K142" i="4" s="1"/>
  <c r="K146" i="4" s="1"/>
  <c r="L142" i="4" s="1"/>
  <c r="L146" i="4" s="1"/>
  <c r="M142" i="4" s="1"/>
  <c r="M146" i="4" s="1"/>
  <c r="N142" i="4" s="1"/>
  <c r="N146" i="4" s="1"/>
  <c r="O142" i="4" s="1"/>
  <c r="O146" i="4" s="1"/>
  <c r="P142" i="4" s="1"/>
  <c r="P146" i="4" s="1"/>
  <c r="Q142" i="4" s="1"/>
  <c r="Q146" i="4" s="1"/>
  <c r="R142" i="4" s="1"/>
  <c r="R146" i="4" s="1"/>
  <c r="S142" i="4" s="1"/>
  <c r="S146" i="4" s="1"/>
  <c r="T142" i="4" s="1"/>
  <c r="T146" i="4" s="1"/>
  <c r="U142" i="4" s="1"/>
  <c r="U146" i="4" s="1"/>
  <c r="V142" i="4" s="1"/>
  <c r="V146" i="4" s="1"/>
  <c r="W142" i="4" s="1"/>
  <c r="W146" i="4" s="1"/>
  <c r="X142" i="4" s="1"/>
  <c r="X146" i="4" s="1"/>
  <c r="Y142" i="4" s="1"/>
  <c r="Y146" i="4" s="1"/>
  <c r="F124" i="4"/>
  <c r="C122" i="4"/>
  <c r="B128" i="4" s="1"/>
  <c r="B132" i="4" s="1"/>
  <c r="C128" i="4" s="1"/>
  <c r="C132" i="4" s="1"/>
  <c r="D128" i="4" s="1"/>
  <c r="D132" i="4" s="1"/>
  <c r="E128" i="4" s="1"/>
  <c r="E132" i="4" s="1"/>
  <c r="F128" i="4" s="1"/>
  <c r="F132" i="4" s="1"/>
  <c r="G128" i="4" s="1"/>
  <c r="G132" i="4" s="1"/>
  <c r="H128" i="4" s="1"/>
  <c r="H132" i="4" s="1"/>
  <c r="I128" i="4" s="1"/>
  <c r="I132" i="4" s="1"/>
  <c r="J128" i="4" s="1"/>
  <c r="J132" i="4" s="1"/>
  <c r="K128" i="4" s="1"/>
  <c r="K132" i="4" s="1"/>
  <c r="L128" i="4" s="1"/>
  <c r="L132" i="4" s="1"/>
  <c r="M128" i="4" s="1"/>
  <c r="M132" i="4" s="1"/>
  <c r="N128" i="4" s="1"/>
  <c r="N132" i="4" s="1"/>
  <c r="O128" i="4" s="1"/>
  <c r="O132" i="4" s="1"/>
  <c r="P128" i="4" s="1"/>
  <c r="P132" i="4" s="1"/>
  <c r="Q128" i="4" s="1"/>
  <c r="Q132" i="4" s="1"/>
  <c r="R128" i="4" s="1"/>
  <c r="R132" i="4" s="1"/>
  <c r="S128" i="4" s="1"/>
  <c r="S132" i="4" s="1"/>
  <c r="T128" i="4" s="1"/>
  <c r="T132" i="4" s="1"/>
  <c r="U128" i="4" s="1"/>
  <c r="U132" i="4" s="1"/>
  <c r="V128" i="4" s="1"/>
  <c r="V132" i="4" s="1"/>
  <c r="W128" i="4" s="1"/>
  <c r="W132" i="4" s="1"/>
  <c r="X128" i="4" s="1"/>
  <c r="X132" i="4" s="1"/>
  <c r="Y128" i="4" s="1"/>
  <c r="Y132" i="4" s="1"/>
  <c r="F110" i="4"/>
  <c r="C108" i="4"/>
  <c r="B114" i="4" s="1"/>
  <c r="B118" i="4" s="1"/>
  <c r="C114" i="4" s="1"/>
  <c r="C118" i="4" s="1"/>
  <c r="D114" i="4" s="1"/>
  <c r="D118" i="4" s="1"/>
  <c r="E114" i="4" s="1"/>
  <c r="E118" i="4" s="1"/>
  <c r="F114" i="4" s="1"/>
  <c r="F118" i="4" s="1"/>
  <c r="G114" i="4" s="1"/>
  <c r="G118" i="4" s="1"/>
  <c r="H114" i="4" s="1"/>
  <c r="H118" i="4" s="1"/>
  <c r="I114" i="4" s="1"/>
  <c r="I118" i="4" s="1"/>
  <c r="J114" i="4" s="1"/>
  <c r="J118" i="4" s="1"/>
  <c r="K114" i="4" s="1"/>
  <c r="K118" i="4" s="1"/>
  <c r="L114" i="4" s="1"/>
  <c r="L118" i="4" s="1"/>
  <c r="M114" i="4" s="1"/>
  <c r="M118" i="4" s="1"/>
  <c r="N114" i="4" s="1"/>
  <c r="N118" i="4" s="1"/>
  <c r="O114" i="4" s="1"/>
  <c r="O118" i="4" s="1"/>
  <c r="P114" i="4" s="1"/>
  <c r="P118" i="4" s="1"/>
  <c r="Q114" i="4" s="1"/>
  <c r="Q118" i="4" s="1"/>
  <c r="R114" i="4" s="1"/>
  <c r="R118" i="4" s="1"/>
  <c r="S114" i="4" s="1"/>
  <c r="S118" i="4" s="1"/>
  <c r="T114" i="4" s="1"/>
  <c r="T118" i="4" s="1"/>
  <c r="U114" i="4" s="1"/>
  <c r="U118" i="4" s="1"/>
  <c r="V114" i="4" s="1"/>
  <c r="V118" i="4" s="1"/>
  <c r="W114" i="4" s="1"/>
  <c r="W118" i="4" s="1"/>
  <c r="X114" i="4" s="1"/>
  <c r="X118" i="4" s="1"/>
  <c r="Y114" i="4" s="1"/>
  <c r="Y118" i="4" s="1"/>
  <c r="F96" i="4"/>
  <c r="C94" i="4"/>
  <c r="B100" i="4" s="1"/>
  <c r="B104" i="4" s="1"/>
  <c r="C100" i="4" s="1"/>
  <c r="C104" i="4" s="1"/>
  <c r="D100" i="4" s="1"/>
  <c r="D104" i="4" s="1"/>
  <c r="E100" i="4" s="1"/>
  <c r="E104" i="4" s="1"/>
  <c r="F100" i="4" s="1"/>
  <c r="F104" i="4" s="1"/>
  <c r="G100" i="4" s="1"/>
  <c r="G104" i="4" s="1"/>
  <c r="H100" i="4" s="1"/>
  <c r="H104" i="4" s="1"/>
  <c r="I100" i="4" s="1"/>
  <c r="I104" i="4" s="1"/>
  <c r="J100" i="4" s="1"/>
  <c r="J104" i="4" s="1"/>
  <c r="K100" i="4" s="1"/>
  <c r="K104" i="4" s="1"/>
  <c r="L100" i="4" s="1"/>
  <c r="L104" i="4" s="1"/>
  <c r="M100" i="4" s="1"/>
  <c r="M104" i="4" s="1"/>
  <c r="N100" i="4" s="1"/>
  <c r="N104" i="4" s="1"/>
  <c r="O100" i="4" s="1"/>
  <c r="O104" i="4" s="1"/>
  <c r="P100" i="4" s="1"/>
  <c r="P104" i="4" s="1"/>
  <c r="Q100" i="4" s="1"/>
  <c r="Q104" i="4" s="1"/>
  <c r="R100" i="4" s="1"/>
  <c r="R104" i="4" s="1"/>
  <c r="S100" i="4" s="1"/>
  <c r="S104" i="4" s="1"/>
  <c r="T100" i="4" s="1"/>
  <c r="T104" i="4" s="1"/>
  <c r="U100" i="4" s="1"/>
  <c r="U104" i="4" s="1"/>
  <c r="V100" i="4" s="1"/>
  <c r="V104" i="4" s="1"/>
  <c r="W100" i="4" s="1"/>
  <c r="W104" i="4" s="1"/>
  <c r="X100" i="4" s="1"/>
  <c r="X104" i="4" s="1"/>
  <c r="Y100" i="4" s="1"/>
  <c r="Y104" i="4" s="1"/>
  <c r="F81" i="4"/>
  <c r="C79" i="4"/>
  <c r="F65" i="4"/>
  <c r="C63" i="4"/>
  <c r="B69" i="4" s="1"/>
  <c r="B73" i="4" s="1"/>
  <c r="C69" i="4" s="1"/>
  <c r="C73" i="4" s="1"/>
  <c r="D69" i="4" s="1"/>
  <c r="D73" i="4" s="1"/>
  <c r="E69" i="4" s="1"/>
  <c r="E73" i="4" s="1"/>
  <c r="F69" i="4" s="1"/>
  <c r="F73" i="4" s="1"/>
  <c r="G69" i="4" s="1"/>
  <c r="G73" i="4" s="1"/>
  <c r="H69" i="4" s="1"/>
  <c r="H73" i="4" s="1"/>
  <c r="I69" i="4" s="1"/>
  <c r="I73" i="4" s="1"/>
  <c r="J69" i="4" s="1"/>
  <c r="J73" i="4" s="1"/>
  <c r="K69" i="4" s="1"/>
  <c r="K73" i="4" s="1"/>
  <c r="L69" i="4" s="1"/>
  <c r="L73" i="4" s="1"/>
  <c r="M69" i="4" s="1"/>
  <c r="M73" i="4" s="1"/>
  <c r="N69" i="4" s="1"/>
  <c r="N73" i="4" s="1"/>
  <c r="O69" i="4" s="1"/>
  <c r="O73" i="4" s="1"/>
  <c r="P69" i="4" s="1"/>
  <c r="P73" i="4" s="1"/>
  <c r="Q69" i="4" s="1"/>
  <c r="Q73" i="4" s="1"/>
  <c r="R69" i="4" s="1"/>
  <c r="R73" i="4" s="1"/>
  <c r="S69" i="4" s="1"/>
  <c r="S73" i="4" s="1"/>
  <c r="T69" i="4" s="1"/>
  <c r="F51" i="4"/>
  <c r="C49" i="4"/>
  <c r="B55" i="4" s="1"/>
  <c r="B59" i="4" s="1"/>
  <c r="C55" i="4" s="1"/>
  <c r="C59" i="4" s="1"/>
  <c r="D55" i="4" s="1"/>
  <c r="D59" i="4" s="1"/>
  <c r="E55" i="4" s="1"/>
  <c r="E59" i="4" s="1"/>
  <c r="F55" i="4" s="1"/>
  <c r="F59" i="4" s="1"/>
  <c r="G55" i="4" s="1"/>
  <c r="G59" i="4" s="1"/>
  <c r="H55" i="4" s="1"/>
  <c r="H59" i="4" s="1"/>
  <c r="I55" i="4" s="1"/>
  <c r="I59" i="4" s="1"/>
  <c r="J55" i="4" s="1"/>
  <c r="J59" i="4" s="1"/>
  <c r="K55" i="4" s="1"/>
  <c r="K59" i="4" s="1"/>
  <c r="L55" i="4" s="1"/>
  <c r="L59" i="4" s="1"/>
  <c r="M55" i="4" s="1"/>
  <c r="M59" i="4" s="1"/>
  <c r="N55" i="4" s="1"/>
  <c r="N59" i="4" s="1"/>
  <c r="O55" i="4" s="1"/>
  <c r="O59" i="4" s="1"/>
  <c r="P55" i="4" s="1"/>
  <c r="P59" i="4" s="1"/>
  <c r="Q55" i="4" s="1"/>
  <c r="Q59" i="4" s="1"/>
  <c r="R55" i="4" s="1"/>
  <c r="R59" i="4" s="1"/>
  <c r="S55" i="4" s="1"/>
  <c r="S59" i="4" s="1"/>
  <c r="T55" i="4" s="1"/>
  <c r="T59" i="4" s="1"/>
  <c r="U55" i="4" s="1"/>
  <c r="U59" i="4" s="1"/>
  <c r="V55" i="4" s="1"/>
  <c r="F37" i="4"/>
  <c r="C35" i="4"/>
  <c r="B41" i="4" s="1"/>
  <c r="B45" i="4" s="1"/>
  <c r="C41" i="4" s="1"/>
  <c r="C45" i="4" s="1"/>
  <c r="D41" i="4" s="1"/>
  <c r="D45" i="4" s="1"/>
  <c r="E41" i="4" s="1"/>
  <c r="E45" i="4" s="1"/>
  <c r="F41" i="4" s="1"/>
  <c r="F45" i="4" s="1"/>
  <c r="G41" i="4" s="1"/>
  <c r="G45" i="4" s="1"/>
  <c r="H41" i="4" s="1"/>
  <c r="H45" i="4" s="1"/>
  <c r="I41" i="4" s="1"/>
  <c r="I45" i="4" s="1"/>
  <c r="J41" i="4" s="1"/>
  <c r="J45" i="4" s="1"/>
  <c r="K41" i="4" s="1"/>
  <c r="K45" i="4" s="1"/>
  <c r="L41" i="4" s="1"/>
  <c r="L45" i="4" s="1"/>
  <c r="M41" i="4" s="1"/>
  <c r="M45" i="4" s="1"/>
  <c r="N41" i="4" s="1"/>
  <c r="N45" i="4" s="1"/>
  <c r="O41" i="4" s="1"/>
  <c r="O45" i="4" s="1"/>
  <c r="P41" i="4" s="1"/>
  <c r="P45" i="4" s="1"/>
  <c r="Q41" i="4" s="1"/>
  <c r="Q45" i="4" s="1"/>
  <c r="R41" i="4" s="1"/>
  <c r="R45" i="4" s="1"/>
  <c r="S41" i="4" s="1"/>
  <c r="S45" i="4" s="1"/>
  <c r="T41" i="4" s="1"/>
  <c r="T45" i="4" s="1"/>
  <c r="U41" i="4" s="1"/>
  <c r="U45" i="4" s="1"/>
  <c r="V41" i="4" s="1"/>
  <c r="V45" i="4" s="1"/>
  <c r="W41" i="4" s="1"/>
  <c r="W45" i="4" s="1"/>
  <c r="X41" i="4" s="1"/>
  <c r="X45" i="4" s="1"/>
  <c r="Y41" i="4" s="1"/>
  <c r="Y45" i="4" s="1"/>
  <c r="F22" i="4"/>
  <c r="C20" i="4"/>
  <c r="B26" i="4" s="1"/>
  <c r="B30" i="4" s="1"/>
  <c r="C26" i="4" s="1"/>
  <c r="C30" i="4" s="1"/>
  <c r="D26" i="4" s="1"/>
  <c r="D30" i="4" s="1"/>
  <c r="E26" i="4" s="1"/>
  <c r="E30" i="4" s="1"/>
  <c r="F26" i="4" s="1"/>
  <c r="F30" i="4" s="1"/>
  <c r="G26" i="4" s="1"/>
  <c r="G30" i="4" s="1"/>
  <c r="H26" i="4" s="1"/>
  <c r="H30" i="4" s="1"/>
  <c r="I26" i="4" s="1"/>
  <c r="I30" i="4" s="1"/>
  <c r="J26" i="4" s="1"/>
  <c r="J30" i="4" s="1"/>
  <c r="K26" i="4" s="1"/>
  <c r="K30" i="4" s="1"/>
  <c r="L26" i="4" s="1"/>
  <c r="L30" i="4" s="1"/>
  <c r="M26" i="4" s="1"/>
  <c r="M30" i="4" s="1"/>
  <c r="N26" i="4" s="1"/>
  <c r="N30" i="4" s="1"/>
  <c r="O26" i="4" s="1"/>
  <c r="O30" i="4" s="1"/>
  <c r="P26" i="4" s="1"/>
  <c r="P30" i="4" s="1"/>
  <c r="Q26" i="4" s="1"/>
  <c r="Q30" i="4" s="1"/>
  <c r="R26" i="4" s="1"/>
  <c r="R30" i="4" s="1"/>
  <c r="S26" i="4" s="1"/>
  <c r="S30" i="4" s="1"/>
  <c r="T26" i="4" s="1"/>
  <c r="T30" i="4" s="1"/>
  <c r="U26" i="4" s="1"/>
  <c r="U30" i="4" s="1"/>
  <c r="V26" i="4" s="1"/>
  <c r="V30" i="4" s="1"/>
  <c r="W26" i="4" s="1"/>
  <c r="W30" i="4" s="1"/>
  <c r="X26" i="4" s="1"/>
  <c r="X30" i="4" s="1"/>
  <c r="Y26" i="4" s="1"/>
  <c r="Y30" i="4" s="1"/>
  <c r="C5" i="4"/>
  <c r="P164" i="2"/>
  <c r="AF163" i="2"/>
  <c r="AE163" i="2"/>
  <c r="AC163" i="2"/>
  <c r="AB163" i="2"/>
  <c r="AA163" i="2"/>
  <c r="Z163" i="2"/>
  <c r="Y163" i="2"/>
  <c r="X163" i="2"/>
  <c r="W163" i="2"/>
  <c r="V163" i="2"/>
  <c r="U163" i="2"/>
  <c r="T163" i="2"/>
  <c r="S163" i="2"/>
  <c r="R163" i="2"/>
  <c r="Q163" i="2"/>
  <c r="P163" i="2"/>
  <c r="O163" i="2"/>
  <c r="N163" i="2"/>
  <c r="M163" i="2"/>
  <c r="L163" i="2"/>
  <c r="K163" i="2"/>
  <c r="J163" i="2"/>
  <c r="I163" i="2"/>
  <c r="H163" i="2"/>
  <c r="G163" i="2"/>
  <c r="F163" i="2"/>
  <c r="E163" i="2"/>
  <c r="AD132" i="2"/>
  <c r="AD131" i="2"/>
  <c r="AD120" i="2"/>
  <c r="AD119" i="2"/>
  <c r="AC116" i="2"/>
  <c r="AB116" i="2"/>
  <c r="AB164" i="2" s="1"/>
  <c r="AA116" i="2"/>
  <c r="AA164" i="2" s="1"/>
  <c r="Z116" i="2"/>
  <c r="Z164" i="2" s="1"/>
  <c r="Y116" i="2"/>
  <c r="Y164" i="2" s="1"/>
  <c r="X116" i="2"/>
  <c r="X164" i="2" s="1"/>
  <c r="W116" i="2"/>
  <c r="V116" i="2"/>
  <c r="U116" i="2"/>
  <c r="T116" i="2"/>
  <c r="S116" i="2"/>
  <c r="R116" i="2"/>
  <c r="R164" i="2" s="1"/>
  <c r="Q116" i="2"/>
  <c r="P114" i="2"/>
  <c r="O114" i="2"/>
  <c r="N114" i="2"/>
  <c r="M114" i="2"/>
  <c r="L114" i="2"/>
  <c r="K114" i="2"/>
  <c r="J114" i="2"/>
  <c r="I114" i="2"/>
  <c r="H114" i="2"/>
  <c r="G114" i="2"/>
  <c r="F114" i="2"/>
  <c r="E114" i="2"/>
  <c r="CM104" i="2"/>
  <c r="CD104" i="2"/>
  <c r="Q104" i="2"/>
  <c r="CQ103" i="2"/>
  <c r="CD103" i="2"/>
  <c r="BQ103" i="2"/>
  <c r="Q103" i="2"/>
  <c r="CQ102" i="2"/>
  <c r="CD102" i="2"/>
  <c r="BQ102" i="2"/>
  <c r="Q102" i="2"/>
  <c r="CQ101" i="2"/>
  <c r="CD101" i="2"/>
  <c r="BQ101" i="2"/>
  <c r="Q101" i="2"/>
  <c r="CQ100" i="2"/>
  <c r="CD100" i="2"/>
  <c r="BQ100" i="2"/>
  <c r="Q100" i="2"/>
  <c r="CQ99" i="2"/>
  <c r="CD99" i="2"/>
  <c r="BQ99" i="2"/>
  <c r="Q99" i="2"/>
  <c r="CQ98" i="2"/>
  <c r="CD98" i="2"/>
  <c r="BQ98" i="2"/>
  <c r="Q98" i="2"/>
  <c r="CQ97" i="2"/>
  <c r="CD97" i="2"/>
  <c r="BQ97" i="2"/>
  <c r="AU97" i="2"/>
  <c r="BD97" i="2" s="1"/>
  <c r="Q97" i="2"/>
  <c r="CQ96" i="2"/>
  <c r="CD96" i="2"/>
  <c r="BQ96" i="2"/>
  <c r="AU96" i="2"/>
  <c r="BD96" i="2" s="1"/>
  <c r="Q96" i="2"/>
  <c r="CQ95" i="2"/>
  <c r="CD95" i="2"/>
  <c r="BQ95" i="2"/>
  <c r="AU95" i="2"/>
  <c r="BD95" i="2" s="1"/>
  <c r="Q95" i="2"/>
  <c r="CQ94" i="2"/>
  <c r="CD94" i="2"/>
  <c r="BQ94" i="2"/>
  <c r="Q94" i="2"/>
  <c r="CQ93" i="2"/>
  <c r="CD93" i="2"/>
  <c r="BQ93" i="2"/>
  <c r="Q93" i="2"/>
  <c r="CQ92" i="2"/>
  <c r="CD92" i="2"/>
  <c r="BQ92" i="2"/>
  <c r="Q92" i="2"/>
  <c r="CQ91" i="2"/>
  <c r="CD91" i="2"/>
  <c r="BQ91" i="2"/>
  <c r="AQ91" i="2"/>
  <c r="CQ90" i="2"/>
  <c r="CD90" i="2"/>
  <c r="BQ90" i="2"/>
  <c r="BD90" i="2"/>
  <c r="AQ90" i="2"/>
  <c r="CQ89" i="2"/>
  <c r="CD89" i="2"/>
  <c r="BQ89" i="2"/>
  <c r="BD89" i="2"/>
  <c r="U89" i="2"/>
  <c r="V90" i="2" s="1"/>
  <c r="W91" i="2" s="1"/>
  <c r="AE92" i="2" s="1"/>
  <c r="CQ88" i="2"/>
  <c r="CD88" i="2"/>
  <c r="BQ88" i="2"/>
  <c r="BD88" i="2"/>
  <c r="AQ88" i="2"/>
  <c r="AB88" i="2"/>
  <c r="AA88" i="2"/>
  <c r="Z88" i="2"/>
  <c r="Y88" i="2"/>
  <c r="AE89" i="2" s="1"/>
  <c r="AF89" i="2" s="1"/>
  <c r="AG89" i="2" s="1"/>
  <c r="X88" i="2"/>
  <c r="CQ87" i="2"/>
  <c r="CD87" i="2"/>
  <c r="BQ87" i="2"/>
  <c r="BD87" i="2"/>
  <c r="AQ87" i="2"/>
  <c r="Y87" i="2"/>
  <c r="Z87" i="2" s="1"/>
  <c r="CQ86" i="2"/>
  <c r="CD86" i="2"/>
  <c r="BQ86" i="2"/>
  <c r="BD86" i="2"/>
  <c r="AQ86" i="2"/>
  <c r="Y86" i="2"/>
  <c r="CQ85" i="2"/>
  <c r="CD85" i="2"/>
  <c r="BQ85" i="2"/>
  <c r="BD85" i="2"/>
  <c r="AQ85" i="2"/>
  <c r="AD85" i="2"/>
  <c r="E85" i="2"/>
  <c r="CP84" i="2"/>
  <c r="CO84" i="2"/>
  <c r="CN84" i="2"/>
  <c r="CL84" i="2"/>
  <c r="CK84" i="2"/>
  <c r="CJ84" i="2"/>
  <c r="CI84" i="2"/>
  <c r="CH84" i="2"/>
  <c r="CG84" i="2"/>
  <c r="CF84" i="2"/>
  <c r="CE84" i="2"/>
  <c r="CC84" i="2"/>
  <c r="CB84" i="2"/>
  <c r="CA84" i="2"/>
  <c r="CA83" i="2" s="1"/>
  <c r="CA57" i="2" s="1"/>
  <c r="BZ84" i="2"/>
  <c r="BY84" i="2"/>
  <c r="BX84" i="2"/>
  <c r="BW84" i="2"/>
  <c r="BV84" i="2"/>
  <c r="BU84" i="2"/>
  <c r="BT84" i="2"/>
  <c r="BS84" i="2"/>
  <c r="BR84" i="2"/>
  <c r="BP84" i="2"/>
  <c r="BP83" i="2" s="1"/>
  <c r="BP57" i="2" s="1"/>
  <c r="BO84" i="2"/>
  <c r="BO83" i="2" s="1"/>
  <c r="BO57" i="2" s="1"/>
  <c r="BN84" i="2"/>
  <c r="BN83" i="2" s="1"/>
  <c r="BN57" i="2" s="1"/>
  <c r="BM84" i="2"/>
  <c r="BM83" i="2" s="1"/>
  <c r="BM57" i="2" s="1"/>
  <c r="BL84" i="2"/>
  <c r="BL83" i="2" s="1"/>
  <c r="BL57" i="2" s="1"/>
  <c r="BK84" i="2"/>
  <c r="BK83" i="2" s="1"/>
  <c r="BJ84" i="2"/>
  <c r="BJ83" i="2" s="1"/>
  <c r="BJ57" i="2" s="1"/>
  <c r="BI84" i="2"/>
  <c r="BI83" i="2" s="1"/>
  <c r="BI57" i="2" s="1"/>
  <c r="BH84" i="2"/>
  <c r="BH83" i="2" s="1"/>
  <c r="BH57" i="2" s="1"/>
  <c r="BG84" i="2"/>
  <c r="BB84" i="2"/>
  <c r="F84" i="2"/>
  <c r="CE83" i="2"/>
  <c r="BR83" i="2"/>
  <c r="AD83" i="2"/>
  <c r="Q83" i="2"/>
  <c r="CQ82" i="2"/>
  <c r="CD82" i="2"/>
  <c r="BQ82" i="2"/>
  <c r="Q82" i="2"/>
  <c r="CQ81" i="2"/>
  <c r="CD81" i="2"/>
  <c r="BQ81" i="2"/>
  <c r="Q81" i="2"/>
  <c r="CQ80" i="2"/>
  <c r="CD80" i="2"/>
  <c r="BQ80" i="2"/>
  <c r="AQ80" i="2"/>
  <c r="Q80" i="2"/>
  <c r="CQ79" i="2"/>
  <c r="CD79" i="2"/>
  <c r="BQ79" i="2"/>
  <c r="Q79" i="2"/>
  <c r="CQ78" i="2"/>
  <c r="CD78" i="2"/>
  <c r="BQ78" i="2"/>
  <c r="Q78" i="2"/>
  <c r="CQ77" i="2"/>
  <c r="CD77" i="2"/>
  <c r="BQ77" i="2"/>
  <c r="BD77" i="2"/>
  <c r="Q77" i="2"/>
  <c r="CQ76" i="2"/>
  <c r="CD76" i="2"/>
  <c r="BQ76" i="2"/>
  <c r="BD76" i="2"/>
  <c r="Q76" i="2"/>
  <c r="CQ75" i="2"/>
  <c r="CD75" i="2"/>
  <c r="BQ75" i="2"/>
  <c r="BD75" i="2"/>
  <c r="Q75" i="2"/>
  <c r="CQ74" i="2"/>
  <c r="CD74" i="2"/>
  <c r="BQ74" i="2"/>
  <c r="BD74" i="2"/>
  <c r="Q74" i="2"/>
  <c r="CQ73" i="2"/>
  <c r="CD73" i="2"/>
  <c r="BQ73" i="2"/>
  <c r="BD73" i="2"/>
  <c r="Q73" i="2"/>
  <c r="CQ72" i="2"/>
  <c r="CD72" i="2"/>
  <c r="BQ72" i="2"/>
  <c r="BD72" i="2"/>
  <c r="AQ72" i="2"/>
  <c r="Q72" i="2"/>
  <c r="CQ71" i="2"/>
  <c r="CD71" i="2"/>
  <c r="BQ71" i="2"/>
  <c r="BD71" i="2"/>
  <c r="AQ71" i="2"/>
  <c r="Q71" i="2"/>
  <c r="CQ70" i="2"/>
  <c r="CD70" i="2"/>
  <c r="BQ70" i="2"/>
  <c r="BD70" i="2"/>
  <c r="AQ70" i="2"/>
  <c r="CQ69" i="2"/>
  <c r="CD69" i="2"/>
  <c r="BQ69" i="2"/>
  <c r="BD69" i="2"/>
  <c r="AQ69" i="2"/>
  <c r="CQ68" i="2"/>
  <c r="CD68" i="2"/>
  <c r="BQ68" i="2"/>
  <c r="BD68" i="2"/>
  <c r="AQ68" i="2"/>
  <c r="CQ67" i="2"/>
  <c r="CD67" i="2"/>
  <c r="BQ67" i="2"/>
  <c r="BD67" i="2"/>
  <c r="AQ67" i="2"/>
  <c r="CQ66" i="2"/>
  <c r="CD66" i="2"/>
  <c r="BQ66" i="2"/>
  <c r="BD66" i="2"/>
  <c r="AQ66" i="2"/>
  <c r="CQ65" i="2"/>
  <c r="CD65" i="2"/>
  <c r="BQ65" i="2"/>
  <c r="BD65" i="2"/>
  <c r="AQ65" i="2"/>
  <c r="CQ64" i="2"/>
  <c r="CD64" i="2"/>
  <c r="BQ64" i="2"/>
  <c r="BD64" i="2"/>
  <c r="AQ64" i="2"/>
  <c r="AD64" i="2"/>
  <c r="AQ63" i="2"/>
  <c r="CQ62" i="2"/>
  <c r="CD62" i="2"/>
  <c r="BQ62" i="2"/>
  <c r="BD62" i="2"/>
  <c r="AQ62" i="2"/>
  <c r="AD62" i="2"/>
  <c r="Q62" i="2"/>
  <c r="CQ61" i="2"/>
  <c r="CD61" i="2"/>
  <c r="BQ61" i="2"/>
  <c r="AQ61" i="2"/>
  <c r="AD61" i="2"/>
  <c r="Q61" i="2"/>
  <c r="CQ59" i="2"/>
  <c r="CD59" i="2"/>
  <c r="BQ59" i="2"/>
  <c r="BD59" i="2"/>
  <c r="AQ59" i="2"/>
  <c r="Q59" i="2"/>
  <c r="AD59" i="2" s="1"/>
  <c r="CQ58" i="2"/>
  <c r="CD58" i="2"/>
  <c r="BQ58" i="2"/>
  <c r="BD58" i="2"/>
  <c r="AQ58" i="2"/>
  <c r="AD58" i="2"/>
  <c r="Q58" i="2"/>
  <c r="CQ60" i="2"/>
  <c r="CD60" i="2"/>
  <c r="BQ60" i="2"/>
  <c r="BD60" i="2"/>
  <c r="AQ60" i="2"/>
  <c r="AD60" i="2"/>
  <c r="Q60" i="2"/>
  <c r="CM57" i="2"/>
  <c r="CL57" i="2"/>
  <c r="CK57" i="2"/>
  <c r="CJ57" i="2"/>
  <c r="CI57" i="2"/>
  <c r="CH57" i="2"/>
  <c r="CG57" i="2"/>
  <c r="BZ57" i="2"/>
  <c r="BY57" i="2"/>
  <c r="BX57" i="2"/>
  <c r="BW57" i="2"/>
  <c r="BV57" i="2"/>
  <c r="BU57" i="2"/>
  <c r="BT57" i="2"/>
  <c r="BG57" i="2"/>
  <c r="BF57" i="2"/>
  <c r="BE57" i="2"/>
  <c r="BC57" i="2"/>
  <c r="H57" i="2"/>
  <c r="G57" i="2"/>
  <c r="F57" i="2"/>
  <c r="E57" i="2"/>
  <c r="CQ56" i="2"/>
  <c r="CD56" i="2"/>
  <c r="BQ56" i="2"/>
  <c r="BD56" i="2"/>
  <c r="AQ56" i="2"/>
  <c r="AD56" i="2"/>
  <c r="Q56" i="2"/>
  <c r="CP46" i="2"/>
  <c r="CO46" i="2"/>
  <c r="CN46" i="2"/>
  <c r="CM46" i="2"/>
  <c r="CL46" i="2"/>
  <c r="CK46" i="2"/>
  <c r="CJ46" i="2"/>
  <c r="CI46" i="2"/>
  <c r="CH46" i="2"/>
  <c r="CG46" i="2"/>
  <c r="CF46" i="2"/>
  <c r="CE46" i="2"/>
  <c r="CC46" i="2"/>
  <c r="CB46" i="2"/>
  <c r="CA46" i="2"/>
  <c r="BZ46" i="2"/>
  <c r="BY46" i="2"/>
  <c r="BX46" i="2"/>
  <c r="BW46" i="2"/>
  <c r="BV46" i="2"/>
  <c r="BU46" i="2"/>
  <c r="BT46" i="2"/>
  <c r="BS46" i="2"/>
  <c r="BR46" i="2"/>
  <c r="BP46" i="2"/>
  <c r="BO46" i="2"/>
  <c r="BN46" i="2"/>
  <c r="BM46" i="2"/>
  <c r="BL46" i="2"/>
  <c r="BK46" i="2"/>
  <c r="BJ46" i="2"/>
  <c r="BI46" i="2"/>
  <c r="BH46" i="2"/>
  <c r="BG46" i="2"/>
  <c r="BF46" i="2"/>
  <c r="BE46" i="2"/>
  <c r="BC46" i="2"/>
  <c r="BB46" i="2"/>
  <c r="BA46" i="2"/>
  <c r="H46" i="2"/>
  <c r="G46" i="2"/>
  <c r="F46" i="2"/>
  <c r="F24" i="2" s="1"/>
  <c r="E46" i="2"/>
  <c r="E24" i="2" s="1"/>
  <c r="AE45" i="2"/>
  <c r="Q45" i="2"/>
  <c r="Q44" i="2"/>
  <c r="Q43" i="2"/>
  <c r="Q42" i="2"/>
  <c r="Q41" i="2"/>
  <c r="Q40" i="2"/>
  <c r="Q39" i="2"/>
  <c r="Q38" i="2"/>
  <c r="Q37" i="2"/>
  <c r="Q36" i="2"/>
  <c r="Q35" i="2"/>
  <c r="Q34" i="2"/>
  <c r="Q33" i="2"/>
  <c r="Q32" i="2"/>
  <c r="Q31" i="2"/>
  <c r="AG30" i="2"/>
  <c r="AH30" i="2" s="1"/>
  <c r="AI30" i="2" s="1"/>
  <c r="AJ30" i="2" s="1"/>
  <c r="AK30" i="2" s="1"/>
  <c r="AL30" i="2" s="1"/>
  <c r="AM30" i="2" s="1"/>
  <c r="AN30" i="2" s="1"/>
  <c r="AO30" i="2" s="1"/>
  <c r="AP30" i="2" s="1"/>
  <c r="AR30" i="2" s="1"/>
  <c r="AS30" i="2" s="1"/>
  <c r="AT30" i="2" s="1"/>
  <c r="AU30" i="2" s="1"/>
  <c r="AV30" i="2" s="1"/>
  <c r="AW30" i="2" s="1"/>
  <c r="AX30" i="2" s="1"/>
  <c r="AY30" i="2" s="1"/>
  <c r="AZ30" i="2" s="1"/>
  <c r="BA30" i="2" s="1"/>
  <c r="BB30" i="2" s="1"/>
  <c r="BC30" i="2" s="1"/>
  <c r="BE30" i="2" s="1"/>
  <c r="Q30" i="2"/>
  <c r="Q29" i="2"/>
  <c r="Q28" i="2"/>
  <c r="AD21" i="2"/>
  <c r="Q21" i="2"/>
  <c r="CD20" i="2"/>
  <c r="CD52" i="2" s="1"/>
  <c r="BQ20" i="2"/>
  <c r="BQ52" i="2" s="1"/>
  <c r="BD20" i="2"/>
  <c r="BD52" i="2" s="1"/>
  <c r="AQ20" i="2"/>
  <c r="AQ52" i="2" s="1"/>
  <c r="AD20" i="2"/>
  <c r="Q20" i="2"/>
  <c r="R14" i="2"/>
  <c r="S14" i="2" s="1"/>
  <c r="T14" i="2" s="1"/>
  <c r="U14" i="2" s="1"/>
  <c r="V14" i="2" s="1"/>
  <c r="W14" i="2" s="1"/>
  <c r="X14" i="2" s="1"/>
  <c r="Y14" i="2" s="1"/>
  <c r="Z14" i="2" s="1"/>
  <c r="AA14" i="2" s="1"/>
  <c r="AB14" i="2" s="1"/>
  <c r="AC14" i="2" s="1"/>
  <c r="AE14" i="2" s="1"/>
  <c r="AF14" i="2" s="1"/>
  <c r="AG14" i="2" s="1"/>
  <c r="AH14" i="2" s="1"/>
  <c r="AI14" i="2" s="1"/>
  <c r="AJ14" i="2" s="1"/>
  <c r="AK14" i="2" s="1"/>
  <c r="AL14" i="2" s="1"/>
  <c r="AM14" i="2" s="1"/>
  <c r="AN14" i="2" s="1"/>
  <c r="AO14" i="2" s="1"/>
  <c r="AP14" i="2" s="1"/>
  <c r="AR14" i="2" s="1"/>
  <c r="AS14" i="2" s="1"/>
  <c r="AT14" i="2" s="1"/>
  <c r="AU14" i="2" s="1"/>
  <c r="AV14" i="2" s="1"/>
  <c r="AW14" i="2" s="1"/>
  <c r="AX14" i="2" s="1"/>
  <c r="AY14" i="2" s="1"/>
  <c r="AZ14" i="2" s="1"/>
  <c r="BA14" i="2" s="1"/>
  <c r="BB14" i="2" s="1"/>
  <c r="BC14" i="2" s="1"/>
  <c r="BE14" i="2" s="1"/>
  <c r="BF14" i="2" s="1"/>
  <c r="BG14" i="2" s="1"/>
  <c r="BH14" i="2" s="1"/>
  <c r="BI14" i="2" s="1"/>
  <c r="BJ14" i="2" s="1"/>
  <c r="BK14" i="2" s="1"/>
  <c r="BL14" i="2" s="1"/>
  <c r="BM14" i="2" s="1"/>
  <c r="BN14" i="2" s="1"/>
  <c r="BO14" i="2" s="1"/>
  <c r="BP14" i="2" s="1"/>
  <c r="BQ14" i="2" s="1"/>
  <c r="BR14" i="2" s="1"/>
  <c r="BS14" i="2" s="1"/>
  <c r="BT14" i="2" s="1"/>
  <c r="BU14" i="2" s="1"/>
  <c r="BV14" i="2" s="1"/>
  <c r="BW14" i="2" s="1"/>
  <c r="BX14" i="2" s="1"/>
  <c r="BY14" i="2" s="1"/>
  <c r="BZ14" i="2" s="1"/>
  <c r="CA14" i="2" s="1"/>
  <c r="CB14" i="2" s="1"/>
  <c r="CC14" i="2" s="1"/>
  <c r="CD14" i="2" s="1"/>
  <c r="CE14" i="2" s="1"/>
  <c r="CF14" i="2" s="1"/>
  <c r="CG14" i="2" s="1"/>
  <c r="CH14" i="2" s="1"/>
  <c r="CI14" i="2" s="1"/>
  <c r="CJ14" i="2" s="1"/>
  <c r="CK14" i="2" s="1"/>
  <c r="CL14" i="2" s="1"/>
  <c r="CM14" i="2" s="1"/>
  <c r="CN14" i="2" s="1"/>
  <c r="CO14" i="2" s="1"/>
  <c r="CP14" i="2" s="1"/>
  <c r="H25" i="6"/>
  <c r="J86" i="2" s="1"/>
  <c r="I16" i="6"/>
  <c r="J26" i="6"/>
  <c r="G8" i="6"/>
  <c r="I85" i="2" s="1"/>
  <c r="E6" i="6"/>
  <c r="G85" i="2" s="1"/>
  <c r="G84" i="2" s="1"/>
  <c r="H12" i="6"/>
  <c r="J85" i="2"/>
  <c r="G11" i="6"/>
  <c r="K23" i="6"/>
  <c r="M86" i="2"/>
  <c r="P87" i="2" s="1"/>
  <c r="I21" i="6"/>
  <c r="K86" i="2"/>
  <c r="N87" i="2" s="1"/>
  <c r="O88" i="2" s="1"/>
  <c r="P89" i="2" s="1"/>
  <c r="F31" i="15"/>
  <c r="F33" i="15"/>
  <c r="F7" i="6"/>
  <c r="H85" i="2"/>
  <c r="H84" i="2" s="1"/>
  <c r="R5" i="17"/>
  <c r="T5" i="17"/>
  <c r="U5" i="17"/>
  <c r="V5" i="17"/>
  <c r="W5" i="17"/>
  <c r="X5" i="17"/>
  <c r="Y5" i="17"/>
  <c r="Z5" i="17"/>
  <c r="AA5" i="17"/>
  <c r="AB5" i="17"/>
  <c r="AC5" i="17"/>
  <c r="AD5" i="17"/>
  <c r="AF5" i="17"/>
  <c r="T11" i="17"/>
  <c r="U11" i="17"/>
  <c r="V11" i="17"/>
  <c r="W11" i="17"/>
  <c r="X11" i="17"/>
  <c r="Y11" i="17"/>
  <c r="Z11" i="17"/>
  <c r="AA11" i="17"/>
  <c r="AB11" i="17"/>
  <c r="AC11" i="17"/>
  <c r="AD11" i="17"/>
  <c r="AF11" i="17"/>
  <c r="R6" i="17"/>
  <c r="I7" i="17"/>
  <c r="H9" i="17"/>
  <c r="K13" i="17"/>
  <c r="L13" i="17"/>
  <c r="M13" i="17"/>
  <c r="N13" i="17"/>
  <c r="O13" i="17"/>
  <c r="P13" i="17"/>
  <c r="Q13" i="17"/>
  <c r="S13" i="17"/>
  <c r="H8" i="17"/>
  <c r="I8" i="17"/>
  <c r="J8" i="17"/>
  <c r="K8" i="17"/>
  <c r="L8" i="17"/>
  <c r="M8" i="17"/>
  <c r="N8" i="17"/>
  <c r="O8" i="17"/>
  <c r="P8" i="17"/>
  <c r="Q8" i="17"/>
  <c r="S8" i="17"/>
  <c r="H21" i="17"/>
  <c r="H6" i="17"/>
  <c r="I6" i="17"/>
  <c r="J6" i="17"/>
  <c r="K6" i="17"/>
  <c r="L6" i="17"/>
  <c r="M6" i="17"/>
  <c r="N6" i="17"/>
  <c r="O6" i="17"/>
  <c r="P6" i="17"/>
  <c r="Q6" i="17"/>
  <c r="S6" i="17"/>
  <c r="G17" i="17"/>
  <c r="G18" i="17"/>
  <c r="G26" i="17"/>
  <c r="F54" i="2" s="1"/>
  <c r="H4" i="17"/>
  <c r="R11" i="17"/>
  <c r="H14" i="17"/>
  <c r="I14" i="17"/>
  <c r="J14" i="17"/>
  <c r="K14" i="17"/>
  <c r="L14" i="17"/>
  <c r="M14" i="17"/>
  <c r="N14" i="17"/>
  <c r="O14" i="17"/>
  <c r="P14" i="17"/>
  <c r="Q14" i="17"/>
  <c r="S14" i="17"/>
  <c r="F17" i="17"/>
  <c r="F18" i="17"/>
  <c r="F26" i="17"/>
  <c r="E54" i="2"/>
  <c r="H12" i="17"/>
  <c r="I12" i="17"/>
  <c r="J12" i="17"/>
  <c r="K12" i="17"/>
  <c r="L12" i="17"/>
  <c r="M12" i="17"/>
  <c r="N12" i="17"/>
  <c r="O12" i="17"/>
  <c r="P12" i="17"/>
  <c r="Q12" i="17"/>
  <c r="S12" i="17"/>
  <c r="G20" i="17"/>
  <c r="H20" i="17"/>
  <c r="I20" i="17"/>
  <c r="J20" i="17"/>
  <c r="K20" i="17"/>
  <c r="L20" i="17"/>
  <c r="M20" i="17"/>
  <c r="N20" i="17"/>
  <c r="O20" i="17"/>
  <c r="P20" i="17"/>
  <c r="Q20" i="17"/>
  <c r="S20" i="17"/>
  <c r="H15" i="17"/>
  <c r="H10" i="17"/>
  <c r="K85" i="2"/>
  <c r="L86" i="2"/>
  <c r="O87" i="2" s="1"/>
  <c r="P88" i="2" s="1"/>
  <c r="J7" i="17"/>
  <c r="K7" i="17"/>
  <c r="L7" i="17"/>
  <c r="M7" i="17"/>
  <c r="N7" i="17"/>
  <c r="O7" i="17"/>
  <c r="P7" i="17"/>
  <c r="Q7" i="17"/>
  <c r="S7" i="17"/>
  <c r="R7" i="17"/>
  <c r="I9" i="17"/>
  <c r="J9" i="17"/>
  <c r="K9" i="17"/>
  <c r="L9" i="17"/>
  <c r="M9" i="17"/>
  <c r="N9" i="17"/>
  <c r="O9" i="17"/>
  <c r="P9" i="17"/>
  <c r="Q9" i="17"/>
  <c r="S9" i="17"/>
  <c r="R9" i="17"/>
  <c r="I21" i="17"/>
  <c r="J21" i="17"/>
  <c r="K21" i="17"/>
  <c r="L21" i="17"/>
  <c r="M21" i="17"/>
  <c r="N21" i="17"/>
  <c r="O21" i="17"/>
  <c r="P21" i="17"/>
  <c r="Q21" i="17"/>
  <c r="S21" i="17"/>
  <c r="R21" i="17"/>
  <c r="D21" i="17" s="1"/>
  <c r="I15" i="17"/>
  <c r="J15" i="17"/>
  <c r="K15" i="17"/>
  <c r="L15" i="17"/>
  <c r="M15" i="17"/>
  <c r="N15" i="17"/>
  <c r="O15" i="17"/>
  <c r="P15" i="17"/>
  <c r="Q15" i="17"/>
  <c r="S15" i="17"/>
  <c r="R15" i="17"/>
  <c r="I10" i="17"/>
  <c r="J10" i="17"/>
  <c r="K10" i="17"/>
  <c r="L10" i="17"/>
  <c r="M10" i="17"/>
  <c r="N10" i="17"/>
  <c r="O10" i="17"/>
  <c r="P10" i="17"/>
  <c r="Q10" i="17"/>
  <c r="S10" i="17"/>
  <c r="R10" i="17"/>
  <c r="T20" i="17"/>
  <c r="U20" i="17"/>
  <c r="V20" i="17"/>
  <c r="W20" i="17"/>
  <c r="X20" i="17"/>
  <c r="Y20" i="17"/>
  <c r="Z20" i="17"/>
  <c r="AA20" i="17"/>
  <c r="AB20" i="17"/>
  <c r="AC20" i="17"/>
  <c r="AD20" i="17"/>
  <c r="AF20" i="17"/>
  <c r="R20" i="17"/>
  <c r="D20" i="17" s="1"/>
  <c r="T21" i="17"/>
  <c r="U21" i="17"/>
  <c r="V21" i="17"/>
  <c r="W21" i="17"/>
  <c r="X21" i="17"/>
  <c r="Y21" i="17"/>
  <c r="Z21" i="17"/>
  <c r="AA21" i="17"/>
  <c r="AB21" i="17"/>
  <c r="AC21" i="17"/>
  <c r="AD21" i="17"/>
  <c r="AF21" i="17"/>
  <c r="R8" i="17"/>
  <c r="T12" i="17"/>
  <c r="U12" i="17"/>
  <c r="V12" i="17"/>
  <c r="W12" i="17"/>
  <c r="X12" i="17"/>
  <c r="Y12" i="17"/>
  <c r="Z12" i="17"/>
  <c r="AA12" i="17"/>
  <c r="AB12" i="17"/>
  <c r="AC12" i="17"/>
  <c r="AD12" i="17"/>
  <c r="AF12" i="17"/>
  <c r="T8" i="17"/>
  <c r="U8" i="17"/>
  <c r="V8" i="17"/>
  <c r="W8" i="17"/>
  <c r="X8" i="17"/>
  <c r="Y8" i="17"/>
  <c r="Z8" i="17"/>
  <c r="AA8" i="17"/>
  <c r="AB8" i="17"/>
  <c r="AC8" i="17"/>
  <c r="AD8" i="17"/>
  <c r="AF8" i="17"/>
  <c r="AE8" i="17"/>
  <c r="AG5" i="17"/>
  <c r="R14" i="17"/>
  <c r="T13" i="17"/>
  <c r="U13" i="17"/>
  <c r="V13" i="17"/>
  <c r="W13" i="17"/>
  <c r="X13" i="17"/>
  <c r="Y13" i="17"/>
  <c r="Z13" i="17"/>
  <c r="AA13" i="17"/>
  <c r="AB13" i="17"/>
  <c r="AC13" i="17"/>
  <c r="AD13" i="17"/>
  <c r="AF13" i="17"/>
  <c r="T9" i="17"/>
  <c r="U9" i="17"/>
  <c r="V9" i="17"/>
  <c r="W9" i="17"/>
  <c r="X9" i="17"/>
  <c r="Y9" i="17"/>
  <c r="R13" i="17"/>
  <c r="H16" i="17"/>
  <c r="I4" i="17"/>
  <c r="T10" i="17"/>
  <c r="U10" i="17"/>
  <c r="V10" i="17"/>
  <c r="W10" i="17"/>
  <c r="X10" i="17"/>
  <c r="Y10" i="17"/>
  <c r="Z10" i="17"/>
  <c r="AA10" i="17"/>
  <c r="AB10" i="17"/>
  <c r="AC10" i="17"/>
  <c r="AD10" i="17"/>
  <c r="AF10" i="17"/>
  <c r="AG11" i="17"/>
  <c r="T14" i="17"/>
  <c r="U14" i="17"/>
  <c r="V14" i="17"/>
  <c r="W14" i="17"/>
  <c r="X14" i="17"/>
  <c r="Y14" i="17"/>
  <c r="Z14" i="17"/>
  <c r="AA14" i="17"/>
  <c r="AB14" i="17"/>
  <c r="AC14" i="17"/>
  <c r="AD14" i="17"/>
  <c r="AF14" i="17"/>
  <c r="AE14" i="17"/>
  <c r="T7" i="17"/>
  <c r="U7" i="17"/>
  <c r="V7" i="17"/>
  <c r="W7" i="17"/>
  <c r="X7" i="17"/>
  <c r="Y7" i="17"/>
  <c r="Z7" i="17"/>
  <c r="AA7" i="17"/>
  <c r="AB7" i="17"/>
  <c r="AC7" i="17"/>
  <c r="AD7" i="17"/>
  <c r="AF7" i="17"/>
  <c r="AE11" i="17"/>
  <c r="T15" i="17"/>
  <c r="T6" i="17"/>
  <c r="R12" i="17"/>
  <c r="AE5" i="17"/>
  <c r="AH5" i="17"/>
  <c r="AI5" i="17"/>
  <c r="AJ5" i="17"/>
  <c r="AK5" i="17"/>
  <c r="AL5" i="17"/>
  <c r="AM5" i="17"/>
  <c r="AN5" i="17"/>
  <c r="AO5" i="17"/>
  <c r="AP5" i="17"/>
  <c r="AQ5" i="17"/>
  <c r="AS5" i="17"/>
  <c r="AR5" i="17"/>
  <c r="Z9" i="17"/>
  <c r="AA9" i="17"/>
  <c r="AB9" i="17"/>
  <c r="AC9" i="17"/>
  <c r="AD9" i="17"/>
  <c r="AF9" i="17"/>
  <c r="AE9" i="17"/>
  <c r="AH11" i="17"/>
  <c r="AI11" i="17"/>
  <c r="AJ11" i="17"/>
  <c r="AK11" i="17"/>
  <c r="AL11" i="17"/>
  <c r="AM11" i="17"/>
  <c r="AN11" i="17"/>
  <c r="AO11" i="17"/>
  <c r="AP11" i="17"/>
  <c r="AQ11" i="17"/>
  <c r="AS11" i="17"/>
  <c r="AR11" i="17"/>
  <c r="U6" i="17"/>
  <c r="V6" i="17"/>
  <c r="W6" i="17"/>
  <c r="X6" i="17"/>
  <c r="Y6" i="17"/>
  <c r="Z6" i="17"/>
  <c r="AA6" i="17"/>
  <c r="AB6" i="17"/>
  <c r="AC6" i="17"/>
  <c r="AD6" i="17"/>
  <c r="AF6" i="17"/>
  <c r="AE6" i="17"/>
  <c r="U15" i="17"/>
  <c r="V15" i="17"/>
  <c r="W15" i="17"/>
  <c r="X15" i="17"/>
  <c r="Y15" i="17"/>
  <c r="Z15" i="17"/>
  <c r="AA15" i="17"/>
  <c r="AB15" i="17"/>
  <c r="AC15" i="17"/>
  <c r="AD15" i="17"/>
  <c r="AF15" i="17"/>
  <c r="AG13" i="17"/>
  <c r="AH13" i="17"/>
  <c r="AI13" i="17"/>
  <c r="AT5" i="17"/>
  <c r="AU5" i="17"/>
  <c r="AV5" i="17"/>
  <c r="AW5" i="17"/>
  <c r="AX5" i="17"/>
  <c r="AY5" i="17"/>
  <c r="AZ5" i="17"/>
  <c r="BA5" i="17"/>
  <c r="BB5" i="17"/>
  <c r="BC5" i="17"/>
  <c r="BD5" i="17"/>
  <c r="BF5" i="17"/>
  <c r="AG7" i="17"/>
  <c r="AH7" i="17"/>
  <c r="AI7" i="17"/>
  <c r="AJ7" i="17"/>
  <c r="AK7" i="17"/>
  <c r="AL7" i="17"/>
  <c r="AM7" i="17"/>
  <c r="AN7" i="17"/>
  <c r="AO7" i="17"/>
  <c r="AP7" i="17"/>
  <c r="AQ7" i="17"/>
  <c r="AS7" i="17"/>
  <c r="AT11" i="17"/>
  <c r="AU11" i="17"/>
  <c r="AV11" i="17"/>
  <c r="AW11" i="17"/>
  <c r="AX11" i="17"/>
  <c r="AY11" i="17"/>
  <c r="AZ11" i="17"/>
  <c r="BA11" i="17"/>
  <c r="BB11" i="17"/>
  <c r="BC11" i="17"/>
  <c r="BD11" i="17"/>
  <c r="BF11" i="17"/>
  <c r="AE13" i="17"/>
  <c r="AG21" i="17"/>
  <c r="AH21" i="17"/>
  <c r="AI21" i="17"/>
  <c r="AJ21" i="17"/>
  <c r="AK21" i="17"/>
  <c r="AL21" i="17"/>
  <c r="AM21" i="17"/>
  <c r="AN21" i="17"/>
  <c r="AO21" i="17"/>
  <c r="AP21" i="17"/>
  <c r="AQ21" i="17"/>
  <c r="AS21" i="17"/>
  <c r="AE7" i="17"/>
  <c r="AG10" i="17"/>
  <c r="AH10" i="17"/>
  <c r="AI10" i="17"/>
  <c r="AJ10" i="17"/>
  <c r="AK10" i="17"/>
  <c r="AL10" i="17"/>
  <c r="AM10" i="17"/>
  <c r="AN10" i="17"/>
  <c r="AO10" i="17"/>
  <c r="AP10" i="17"/>
  <c r="AQ10" i="17"/>
  <c r="AS10" i="17"/>
  <c r="AG8" i="17"/>
  <c r="AH8" i="17"/>
  <c r="AI8" i="17"/>
  <c r="AJ8" i="17"/>
  <c r="AK8" i="17"/>
  <c r="AL8" i="17"/>
  <c r="AM8" i="17"/>
  <c r="AN8" i="17"/>
  <c r="AO8" i="17"/>
  <c r="AP8" i="17"/>
  <c r="AQ8" i="17"/>
  <c r="AS8" i="17"/>
  <c r="AE21" i="17"/>
  <c r="AE10" i="17"/>
  <c r="AG9" i="17"/>
  <c r="AG6" i="17"/>
  <c r="AH6" i="17"/>
  <c r="AI6" i="17"/>
  <c r="AJ6" i="17"/>
  <c r="AK6" i="17"/>
  <c r="AL6" i="17"/>
  <c r="AM6" i="17"/>
  <c r="AN6" i="17"/>
  <c r="AO6" i="17"/>
  <c r="AP6" i="17"/>
  <c r="AQ6" i="17"/>
  <c r="AS6" i="17"/>
  <c r="AG14" i="17"/>
  <c r="AH14" i="17"/>
  <c r="AI14" i="17"/>
  <c r="AJ14" i="17"/>
  <c r="AK14" i="17"/>
  <c r="AL14" i="17"/>
  <c r="AM14" i="17"/>
  <c r="AN14" i="17"/>
  <c r="AO14" i="17"/>
  <c r="AP14" i="17"/>
  <c r="AQ14" i="17"/>
  <c r="AS14" i="17"/>
  <c r="I16" i="17"/>
  <c r="J4" i="17"/>
  <c r="AE12" i="17"/>
  <c r="AG20" i="17"/>
  <c r="AH20" i="17"/>
  <c r="AI20" i="17"/>
  <c r="AJ20" i="17"/>
  <c r="AK20" i="17"/>
  <c r="AL20" i="17"/>
  <c r="AM20" i="17"/>
  <c r="AN20" i="17"/>
  <c r="AO20" i="17"/>
  <c r="AP20" i="17"/>
  <c r="AQ20" i="17"/>
  <c r="AS20" i="17"/>
  <c r="H17" i="17"/>
  <c r="H18" i="17"/>
  <c r="H26" i="17"/>
  <c r="G54" i="2"/>
  <c r="AG12" i="17"/>
  <c r="AH12" i="17"/>
  <c r="AI12" i="17"/>
  <c r="AJ12" i="17"/>
  <c r="AK12" i="17"/>
  <c r="AL12" i="17"/>
  <c r="AM12" i="17"/>
  <c r="AN12" i="17"/>
  <c r="AO12" i="17"/>
  <c r="AP12" i="17"/>
  <c r="AQ12" i="17"/>
  <c r="AS12" i="17"/>
  <c r="AE20" i="17"/>
  <c r="AJ13" i="17"/>
  <c r="AK13" i="17"/>
  <c r="AL13" i="17"/>
  <c r="AM13" i="17"/>
  <c r="AN13" i="17"/>
  <c r="AO13" i="17"/>
  <c r="AP13" i="17"/>
  <c r="AQ13" i="17"/>
  <c r="AS13" i="17"/>
  <c r="AR13" i="17"/>
  <c r="AH9" i="17"/>
  <c r="AI9" i="17"/>
  <c r="AJ9" i="17"/>
  <c r="AK9" i="17"/>
  <c r="AL9" i="17"/>
  <c r="AM9" i="17"/>
  <c r="AN9" i="17"/>
  <c r="AO9" i="17"/>
  <c r="AP9" i="17"/>
  <c r="AQ9" i="17"/>
  <c r="AS9" i="17"/>
  <c r="AR9" i="17"/>
  <c r="AT12" i="17"/>
  <c r="AU12" i="17"/>
  <c r="AV12" i="17"/>
  <c r="AW12" i="17"/>
  <c r="AX12" i="17"/>
  <c r="AY12" i="17"/>
  <c r="AZ12" i="17"/>
  <c r="BA12" i="17"/>
  <c r="BB12" i="17"/>
  <c r="BC12" i="17"/>
  <c r="BD12" i="17"/>
  <c r="BF12" i="17"/>
  <c r="AR12" i="17"/>
  <c r="AR21" i="17"/>
  <c r="AT13" i="17"/>
  <c r="AU13" i="17"/>
  <c r="AV13" i="17"/>
  <c r="AW13" i="17"/>
  <c r="AX13" i="17"/>
  <c r="AY13" i="17"/>
  <c r="AZ13" i="17"/>
  <c r="BA13" i="17"/>
  <c r="BB13" i="17"/>
  <c r="BC13" i="17"/>
  <c r="BD13" i="17"/>
  <c r="BF13" i="17"/>
  <c r="AT21" i="17"/>
  <c r="AU21" i="17"/>
  <c r="AV21" i="17"/>
  <c r="AW21" i="17"/>
  <c r="AX21" i="17"/>
  <c r="AY21" i="17"/>
  <c r="AZ21" i="17"/>
  <c r="BA21" i="17"/>
  <c r="BB21" i="17"/>
  <c r="BC21" i="17"/>
  <c r="BD21" i="17"/>
  <c r="BF21" i="17"/>
  <c r="AT14" i="17"/>
  <c r="AU14" i="17"/>
  <c r="AV14" i="17"/>
  <c r="AW14" i="17"/>
  <c r="AX14" i="17"/>
  <c r="AY14" i="17"/>
  <c r="AZ14" i="17"/>
  <c r="BA14" i="17"/>
  <c r="BB14" i="17"/>
  <c r="BC14" i="17"/>
  <c r="BD14" i="17"/>
  <c r="BF14" i="17"/>
  <c r="AT8" i="17"/>
  <c r="AU8" i="17"/>
  <c r="AV8" i="17"/>
  <c r="AW8" i="17"/>
  <c r="AX8" i="17"/>
  <c r="AY8" i="17"/>
  <c r="AZ8" i="17"/>
  <c r="BA8" i="17"/>
  <c r="BB8" i="17"/>
  <c r="BC8" i="17"/>
  <c r="BD8" i="17"/>
  <c r="BF8" i="17"/>
  <c r="AR10" i="17"/>
  <c r="AT7" i="17"/>
  <c r="J16" i="17"/>
  <c r="K4" i="17"/>
  <c r="AR14" i="17"/>
  <c r="AR8" i="17"/>
  <c r="AT10" i="17"/>
  <c r="AR7" i="17"/>
  <c r="I17" i="17"/>
  <c r="BE11" i="17"/>
  <c r="AT6" i="17"/>
  <c r="BG11" i="17"/>
  <c r="AE15" i="17"/>
  <c r="AR20" i="17"/>
  <c r="AT9" i="17"/>
  <c r="BG5" i="17"/>
  <c r="BH5" i="17"/>
  <c r="BI5" i="17"/>
  <c r="BJ5" i="17"/>
  <c r="BK5" i="17"/>
  <c r="BL5" i="17"/>
  <c r="BM5" i="17"/>
  <c r="BN5" i="17"/>
  <c r="BO5" i="17"/>
  <c r="BP5" i="17"/>
  <c r="BQ5" i="17"/>
  <c r="BS5" i="17"/>
  <c r="AG15" i="17"/>
  <c r="AH15" i="17"/>
  <c r="AI15" i="17"/>
  <c r="AJ15" i="17"/>
  <c r="AK15" i="17"/>
  <c r="AL15" i="17"/>
  <c r="AM15" i="17"/>
  <c r="AN15" i="17"/>
  <c r="AO15" i="17"/>
  <c r="AP15" i="17"/>
  <c r="AQ15" i="17"/>
  <c r="AS15" i="17"/>
  <c r="AR15" i="17"/>
  <c r="AT20" i="17"/>
  <c r="AU20" i="17"/>
  <c r="AV20" i="17"/>
  <c r="AW20" i="17"/>
  <c r="AX20" i="17"/>
  <c r="AY20" i="17"/>
  <c r="AZ20" i="17"/>
  <c r="BA20" i="17"/>
  <c r="BB20" i="17"/>
  <c r="BC20" i="17"/>
  <c r="BD20" i="17"/>
  <c r="BF20" i="17"/>
  <c r="AR6" i="17"/>
  <c r="BE5" i="17"/>
  <c r="AU7" i="17"/>
  <c r="AV7" i="17"/>
  <c r="AW7" i="17"/>
  <c r="AX7" i="17"/>
  <c r="AY7" i="17"/>
  <c r="AZ7" i="17"/>
  <c r="BA7" i="17"/>
  <c r="BB7" i="17"/>
  <c r="BC7" i="17"/>
  <c r="BD7" i="17"/>
  <c r="BF7" i="17"/>
  <c r="BE7" i="17"/>
  <c r="AU10" i="17"/>
  <c r="AV10" i="17"/>
  <c r="AW10" i="17"/>
  <c r="AX10" i="17"/>
  <c r="AY10" i="17"/>
  <c r="AZ10" i="17"/>
  <c r="BA10" i="17"/>
  <c r="BB10" i="17"/>
  <c r="BC10" i="17"/>
  <c r="BD10" i="17"/>
  <c r="BF10" i="17"/>
  <c r="BE10" i="17"/>
  <c r="AU6" i="17"/>
  <c r="AV6" i="17"/>
  <c r="AW6" i="17"/>
  <c r="AX6" i="17"/>
  <c r="AY6" i="17"/>
  <c r="AZ6" i="17"/>
  <c r="BA6" i="17"/>
  <c r="BB6" i="17"/>
  <c r="BC6" i="17"/>
  <c r="BD6" i="17"/>
  <c r="BF6" i="17"/>
  <c r="BE6" i="17"/>
  <c r="BH11" i="17"/>
  <c r="BI11" i="17"/>
  <c r="BJ11" i="17"/>
  <c r="BK11" i="17"/>
  <c r="BL11" i="17"/>
  <c r="BM11" i="17"/>
  <c r="BN11" i="17"/>
  <c r="BO11" i="17"/>
  <c r="BP11" i="17"/>
  <c r="BQ11" i="17"/>
  <c r="BS11" i="17"/>
  <c r="BR11" i="17"/>
  <c r="AU9" i="17"/>
  <c r="AV9" i="17"/>
  <c r="AW9" i="17"/>
  <c r="AX9" i="17"/>
  <c r="AY9" i="17"/>
  <c r="AZ9" i="17"/>
  <c r="BA9" i="17"/>
  <c r="BB9" i="17"/>
  <c r="BC9" i="17"/>
  <c r="BD9" i="17"/>
  <c r="BF9" i="17"/>
  <c r="BE9" i="17"/>
  <c r="I18" i="17"/>
  <c r="I26" i="17"/>
  <c r="H54" i="2"/>
  <c r="BG10" i="17"/>
  <c r="BH10" i="17"/>
  <c r="BI10" i="17"/>
  <c r="BJ10" i="17"/>
  <c r="BK10" i="17"/>
  <c r="BL10" i="17"/>
  <c r="BM10" i="17"/>
  <c r="BN10" i="17"/>
  <c r="BO10" i="17"/>
  <c r="BP10" i="17"/>
  <c r="BQ10" i="17"/>
  <c r="BS10" i="17"/>
  <c r="BE8" i="17"/>
  <c r="BE14" i="17"/>
  <c r="BR5" i="17"/>
  <c r="BG14" i="17"/>
  <c r="BH14" i="17"/>
  <c r="BI14" i="17"/>
  <c r="BJ14" i="17"/>
  <c r="BK14" i="17"/>
  <c r="BL14" i="17"/>
  <c r="BM14" i="17"/>
  <c r="BN14" i="17"/>
  <c r="BO14" i="17"/>
  <c r="BP14" i="17"/>
  <c r="BQ14" i="17"/>
  <c r="BS14" i="17"/>
  <c r="BT5" i="17"/>
  <c r="BU5" i="17"/>
  <c r="BV5" i="17"/>
  <c r="BW5" i="17"/>
  <c r="BX5" i="17"/>
  <c r="BY5" i="17"/>
  <c r="BZ5" i="17"/>
  <c r="CA5" i="17"/>
  <c r="CB5" i="17"/>
  <c r="CC5" i="17"/>
  <c r="CD5" i="17"/>
  <c r="CF5" i="17"/>
  <c r="BT11" i="17"/>
  <c r="K16" i="17"/>
  <c r="L4" i="17"/>
  <c r="BG13" i="17"/>
  <c r="J17" i="17"/>
  <c r="J18" i="17"/>
  <c r="J26" i="17"/>
  <c r="I54" i="2"/>
  <c r="BG21" i="17"/>
  <c r="BE13" i="17"/>
  <c r="BG12" i="17"/>
  <c r="BH12" i="17"/>
  <c r="BI12" i="17"/>
  <c r="BJ12" i="17"/>
  <c r="BK12" i="17"/>
  <c r="BL12" i="17"/>
  <c r="BM12" i="17"/>
  <c r="BN12" i="17"/>
  <c r="BO12" i="17"/>
  <c r="BP12" i="17"/>
  <c r="BQ12" i="17"/>
  <c r="BS12" i="17"/>
  <c r="AT15" i="17"/>
  <c r="AU15" i="17"/>
  <c r="AV15" i="17"/>
  <c r="AW15" i="17"/>
  <c r="AX15" i="17"/>
  <c r="AY15" i="17"/>
  <c r="AZ15" i="17"/>
  <c r="BA15" i="17"/>
  <c r="BB15" i="17"/>
  <c r="BC15" i="17"/>
  <c r="BD15" i="17"/>
  <c r="BF15" i="17"/>
  <c r="BG9" i="17"/>
  <c r="BH9" i="17"/>
  <c r="BI9" i="17"/>
  <c r="BJ9" i="17"/>
  <c r="BK9" i="17"/>
  <c r="BL9" i="17"/>
  <c r="BM9" i="17"/>
  <c r="BN9" i="17"/>
  <c r="BO9" i="17"/>
  <c r="BP9" i="17"/>
  <c r="BQ9" i="17"/>
  <c r="BS9" i="17"/>
  <c r="BR9" i="17"/>
  <c r="BG7" i="17"/>
  <c r="BE12" i="17"/>
  <c r="BG20" i="17"/>
  <c r="BH20" i="17"/>
  <c r="BI20" i="17"/>
  <c r="BJ20" i="17"/>
  <c r="BK20" i="17"/>
  <c r="BL20" i="17"/>
  <c r="BM20" i="17"/>
  <c r="BN20" i="17"/>
  <c r="BO20" i="17"/>
  <c r="BP20" i="17"/>
  <c r="BQ20" i="17"/>
  <c r="BS20" i="17"/>
  <c r="BE20" i="17"/>
  <c r="BG6" i="17"/>
  <c r="BH6" i="17"/>
  <c r="BI6" i="17"/>
  <c r="BJ6" i="17"/>
  <c r="BK6" i="17"/>
  <c r="BL6" i="17"/>
  <c r="BM6" i="17"/>
  <c r="BN6" i="17"/>
  <c r="BO6" i="17"/>
  <c r="BP6" i="17"/>
  <c r="BQ6" i="17"/>
  <c r="BS6" i="17"/>
  <c r="BG8" i="17"/>
  <c r="BH8" i="17"/>
  <c r="BI8" i="17"/>
  <c r="BJ8" i="17"/>
  <c r="BK8" i="17"/>
  <c r="BL8" i="17"/>
  <c r="BM8" i="17"/>
  <c r="BN8" i="17"/>
  <c r="BO8" i="17"/>
  <c r="BP8" i="17"/>
  <c r="BQ8" i="17"/>
  <c r="BS8" i="17"/>
  <c r="BU11" i="17"/>
  <c r="BV11" i="17"/>
  <c r="BW11" i="17"/>
  <c r="BX11" i="17"/>
  <c r="BY11" i="17"/>
  <c r="BZ11" i="17"/>
  <c r="CA11" i="17"/>
  <c r="CB11" i="17"/>
  <c r="CC11" i="17"/>
  <c r="CD11" i="17"/>
  <c r="CF11" i="17"/>
  <c r="CE11" i="17"/>
  <c r="BH13" i="17"/>
  <c r="BI13" i="17"/>
  <c r="BJ13" i="17"/>
  <c r="BK13" i="17"/>
  <c r="BL13" i="17"/>
  <c r="BM13" i="17"/>
  <c r="BN13" i="17"/>
  <c r="BO13" i="17"/>
  <c r="BP13" i="17"/>
  <c r="BQ13" i="17"/>
  <c r="BS13" i="17"/>
  <c r="BR13" i="17"/>
  <c r="BH21" i="17"/>
  <c r="BI21" i="17"/>
  <c r="BJ21" i="17"/>
  <c r="BK21" i="17"/>
  <c r="BL21" i="17"/>
  <c r="BM21" i="17"/>
  <c r="BN21" i="17"/>
  <c r="BO21" i="17"/>
  <c r="BP21" i="17"/>
  <c r="BQ21" i="17"/>
  <c r="BS21" i="17"/>
  <c r="BR21" i="17"/>
  <c r="BH7" i="17"/>
  <c r="BI7" i="17"/>
  <c r="BJ7" i="17"/>
  <c r="BK7" i="17"/>
  <c r="BL7" i="17"/>
  <c r="BM7" i="17"/>
  <c r="BN7" i="17"/>
  <c r="BO7" i="17"/>
  <c r="BP7" i="17"/>
  <c r="BQ7" i="17"/>
  <c r="BS7" i="17"/>
  <c r="BR7" i="17"/>
  <c r="L16" i="17"/>
  <c r="M4" i="17"/>
  <c r="BT13" i="17"/>
  <c r="BU13" i="17"/>
  <c r="BV13" i="17"/>
  <c r="BW13" i="17"/>
  <c r="BX13" i="17"/>
  <c r="BY13" i="17"/>
  <c r="BZ13" i="17"/>
  <c r="CA13" i="17"/>
  <c r="CB13" i="17"/>
  <c r="CC13" i="17"/>
  <c r="CD13" i="17"/>
  <c r="CF13" i="17"/>
  <c r="K17" i="17"/>
  <c r="K18" i="17"/>
  <c r="K26" i="17"/>
  <c r="J54" i="2"/>
  <c r="BT6" i="17"/>
  <c r="BU6" i="17"/>
  <c r="BV6" i="17"/>
  <c r="BW6" i="17"/>
  <c r="BX6" i="17"/>
  <c r="BY6" i="17"/>
  <c r="BZ6" i="17"/>
  <c r="CA6" i="17"/>
  <c r="CB6" i="17"/>
  <c r="CC6" i="17"/>
  <c r="CD6" i="17"/>
  <c r="CF6" i="17"/>
  <c r="BR6" i="17"/>
  <c r="BR20" i="17"/>
  <c r="BT7" i="17"/>
  <c r="BU7" i="17"/>
  <c r="BV7" i="17"/>
  <c r="BW7" i="17"/>
  <c r="BX7" i="17"/>
  <c r="BY7" i="17"/>
  <c r="BZ7" i="17"/>
  <c r="CA7" i="17"/>
  <c r="CB7" i="17"/>
  <c r="CC7" i="17"/>
  <c r="CD7" i="17"/>
  <c r="CF7" i="17"/>
  <c r="BT9" i="17"/>
  <c r="BU9" i="17"/>
  <c r="BV9" i="17"/>
  <c r="BW9" i="17"/>
  <c r="BX9" i="17"/>
  <c r="BY9" i="17"/>
  <c r="BZ9" i="17"/>
  <c r="CA9" i="17"/>
  <c r="CB9" i="17"/>
  <c r="CC9" i="17"/>
  <c r="CD9" i="17"/>
  <c r="CF9" i="17"/>
  <c r="BR12" i="17"/>
  <c r="CG11" i="17"/>
  <c r="CH11" i="17"/>
  <c r="CI11" i="17"/>
  <c r="CJ11" i="17"/>
  <c r="CK11" i="17"/>
  <c r="CL11" i="17"/>
  <c r="CM11" i="17"/>
  <c r="CN11" i="17"/>
  <c r="CO11" i="17"/>
  <c r="CP11" i="17"/>
  <c r="CQ11" i="17"/>
  <c r="BT8" i="17"/>
  <c r="BU8" i="17"/>
  <c r="BV8" i="17"/>
  <c r="BW8" i="17"/>
  <c r="BX8" i="17"/>
  <c r="BY8" i="17"/>
  <c r="BZ8" i="17"/>
  <c r="CA8" i="17"/>
  <c r="CB8" i="17"/>
  <c r="CC8" i="17"/>
  <c r="CD8" i="17"/>
  <c r="CF8" i="17"/>
  <c r="CE8" i="17"/>
  <c r="BT20" i="17"/>
  <c r="BG15" i="17"/>
  <c r="BH15" i="17"/>
  <c r="BI15" i="17"/>
  <c r="BJ15" i="17"/>
  <c r="BK15" i="17"/>
  <c r="BL15" i="17"/>
  <c r="BM15" i="17"/>
  <c r="BN15" i="17"/>
  <c r="BO15" i="17"/>
  <c r="BP15" i="17"/>
  <c r="BQ15" i="17"/>
  <c r="BS15" i="17"/>
  <c r="BT12" i="17"/>
  <c r="BT14" i="17"/>
  <c r="BU14" i="17"/>
  <c r="BV14" i="17"/>
  <c r="BW14" i="17"/>
  <c r="BX14" i="17"/>
  <c r="BY14" i="17"/>
  <c r="BZ14" i="17"/>
  <c r="CA14" i="17"/>
  <c r="CB14" i="17"/>
  <c r="CC14" i="17"/>
  <c r="CD14" i="17"/>
  <c r="CF14" i="17"/>
  <c r="BT10" i="17"/>
  <c r="BU10" i="17"/>
  <c r="BV10" i="17"/>
  <c r="BW10" i="17"/>
  <c r="BX10" i="17"/>
  <c r="BY10" i="17"/>
  <c r="BZ10" i="17"/>
  <c r="CA10" i="17"/>
  <c r="CB10" i="17"/>
  <c r="CC10" i="17"/>
  <c r="CD10" i="17"/>
  <c r="CF10" i="17"/>
  <c r="BR8" i="17"/>
  <c r="BE15" i="17"/>
  <c r="CG5" i="17"/>
  <c r="CH5" i="17"/>
  <c r="CI5" i="17"/>
  <c r="CJ5" i="17"/>
  <c r="CK5" i="17"/>
  <c r="CL5" i="17"/>
  <c r="CM5" i="17"/>
  <c r="CN5" i="17"/>
  <c r="CO5" i="17"/>
  <c r="CP5" i="17"/>
  <c r="CQ5" i="17"/>
  <c r="CR5" i="17"/>
  <c r="BR14" i="17"/>
  <c r="BR10" i="17"/>
  <c r="BT21" i="17"/>
  <c r="BU21" i="17"/>
  <c r="BV21" i="17"/>
  <c r="BW21" i="17"/>
  <c r="BX21" i="17"/>
  <c r="BY21" i="17"/>
  <c r="BZ21" i="17"/>
  <c r="CA21" i="17"/>
  <c r="CB21" i="17"/>
  <c r="CC21" i="17"/>
  <c r="CD21" i="17"/>
  <c r="CF21" i="17"/>
  <c r="CE5" i="17"/>
  <c r="D5" i="17"/>
  <c r="BU20" i="17"/>
  <c r="BV20" i="17"/>
  <c r="BW20" i="17"/>
  <c r="BX20" i="17"/>
  <c r="BY20" i="17"/>
  <c r="BZ20" i="17"/>
  <c r="CA20" i="17"/>
  <c r="CB20" i="17"/>
  <c r="CC20" i="17"/>
  <c r="CD20" i="17"/>
  <c r="CF20" i="17"/>
  <c r="CE20" i="17"/>
  <c r="BU12" i="17"/>
  <c r="BV12" i="17"/>
  <c r="BW12" i="17"/>
  <c r="BX12" i="17"/>
  <c r="BY12" i="17"/>
  <c r="BZ12" i="17"/>
  <c r="CA12" i="17"/>
  <c r="CB12" i="17"/>
  <c r="CC12" i="17"/>
  <c r="CD12" i="17"/>
  <c r="CF12" i="17"/>
  <c r="CE12" i="17"/>
  <c r="CG20" i="17"/>
  <c r="CH20" i="17"/>
  <c r="CI20" i="17"/>
  <c r="CJ20" i="17"/>
  <c r="CK20" i="17"/>
  <c r="CL20" i="17"/>
  <c r="CM20" i="17"/>
  <c r="CN20" i="17"/>
  <c r="CO20" i="17"/>
  <c r="CP20" i="17"/>
  <c r="CQ20" i="17"/>
  <c r="CR11" i="17"/>
  <c r="D11" i="17"/>
  <c r="CE6" i="17"/>
  <c r="CE10" i="17"/>
  <c r="CG12" i="17"/>
  <c r="CH12" i="17"/>
  <c r="CI12" i="17"/>
  <c r="CJ12" i="17"/>
  <c r="CK12" i="17"/>
  <c r="CL12" i="17"/>
  <c r="CM12" i="17"/>
  <c r="CN12" i="17"/>
  <c r="CO12" i="17"/>
  <c r="CP12" i="17"/>
  <c r="CQ12" i="17"/>
  <c r="CG6" i="17"/>
  <c r="CH6" i="17"/>
  <c r="CI6" i="17"/>
  <c r="CJ6" i="17"/>
  <c r="CK6" i="17"/>
  <c r="CL6" i="17"/>
  <c r="CM6" i="17"/>
  <c r="CN6" i="17"/>
  <c r="CO6" i="17"/>
  <c r="CP6" i="17"/>
  <c r="CQ6" i="17"/>
  <c r="CG10" i="17"/>
  <c r="CH10" i="17"/>
  <c r="CI10" i="17"/>
  <c r="CJ10" i="17"/>
  <c r="CK10" i="17"/>
  <c r="CL10" i="17"/>
  <c r="CM10" i="17"/>
  <c r="CN10" i="17"/>
  <c r="CO10" i="17"/>
  <c r="CP10" i="17"/>
  <c r="CQ10" i="17"/>
  <c r="CG7" i="17"/>
  <c r="CH7" i="17"/>
  <c r="CI7" i="17"/>
  <c r="CJ7" i="17"/>
  <c r="CK7" i="17"/>
  <c r="CL7" i="17"/>
  <c r="CM7" i="17"/>
  <c r="CN7" i="17"/>
  <c r="CO7" i="17"/>
  <c r="CP7" i="17"/>
  <c r="CQ7" i="17"/>
  <c r="BR15" i="17"/>
  <c r="CG8" i="17"/>
  <c r="CH8" i="17"/>
  <c r="CI8" i="17"/>
  <c r="CJ8" i="17"/>
  <c r="CK8" i="17"/>
  <c r="CL8" i="17"/>
  <c r="CM8" i="17"/>
  <c r="CN8" i="17"/>
  <c r="CO8" i="17"/>
  <c r="CP8" i="17"/>
  <c r="CQ8" i="17"/>
  <c r="CE7" i="17"/>
  <c r="CE13" i="17"/>
  <c r="BT15" i="17"/>
  <c r="CG13" i="17"/>
  <c r="CG21" i="17"/>
  <c r="CH21" i="17"/>
  <c r="CI21" i="17"/>
  <c r="CJ21" i="17"/>
  <c r="CK21" i="17"/>
  <c r="CL21" i="17"/>
  <c r="CM21" i="17"/>
  <c r="CN21" i="17"/>
  <c r="CO21" i="17"/>
  <c r="CP21" i="17"/>
  <c r="CQ21" i="17"/>
  <c r="CG14" i="17"/>
  <c r="CH14" i="17"/>
  <c r="CI14" i="17"/>
  <c r="CJ14" i="17"/>
  <c r="CK14" i="17"/>
  <c r="CL14" i="17"/>
  <c r="CM14" i="17"/>
  <c r="CN14" i="17"/>
  <c r="CO14" i="17"/>
  <c r="CP14" i="17"/>
  <c r="CQ14" i="17"/>
  <c r="CE21" i="17"/>
  <c r="CE14" i="17"/>
  <c r="CG9" i="17"/>
  <c r="CH9" i="17"/>
  <c r="CI9" i="17"/>
  <c r="CJ9" i="17"/>
  <c r="CK9" i="17"/>
  <c r="CL9" i="17"/>
  <c r="CM9" i="17"/>
  <c r="CN9" i="17"/>
  <c r="CO9" i="17"/>
  <c r="CP9" i="17"/>
  <c r="CQ9" i="17"/>
  <c r="CR9" i="17"/>
  <c r="M16" i="17"/>
  <c r="N4" i="17"/>
  <c r="CE9" i="17"/>
  <c r="L17" i="17"/>
  <c r="L18" i="17"/>
  <c r="L26" i="17"/>
  <c r="K54" i="2" s="1"/>
  <c r="BU15" i="17"/>
  <c r="BV15" i="17"/>
  <c r="BW15" i="17"/>
  <c r="BX15" i="17"/>
  <c r="BY15" i="17"/>
  <c r="BZ15" i="17"/>
  <c r="CA15" i="17"/>
  <c r="CB15" i="17"/>
  <c r="CC15" i="17"/>
  <c r="CD15" i="17"/>
  <c r="CF15" i="17"/>
  <c r="CE15" i="17"/>
  <c r="CH13" i="17"/>
  <c r="CI13" i="17"/>
  <c r="CJ13" i="17"/>
  <c r="CK13" i="17"/>
  <c r="CL13" i="17"/>
  <c r="CM13" i="17"/>
  <c r="CN13" i="17"/>
  <c r="CO13" i="17"/>
  <c r="CP13" i="17"/>
  <c r="CQ13" i="17"/>
  <c r="CR13" i="17"/>
  <c r="D9" i="17"/>
  <c r="D13" i="17"/>
  <c r="CR21" i="17"/>
  <c r="CR7" i="17"/>
  <c r="D7" i="17"/>
  <c r="CR20" i="17"/>
  <c r="CR12" i="17"/>
  <c r="D12" i="17"/>
  <c r="CR6" i="17"/>
  <c r="D6" i="17"/>
  <c r="N16" i="17"/>
  <c r="O4" i="17"/>
  <c r="M17" i="17"/>
  <c r="M18" i="17"/>
  <c r="CR10" i="17"/>
  <c r="D10" i="17"/>
  <c r="CR14" i="17"/>
  <c r="D14" i="17"/>
  <c r="CR8" i="17"/>
  <c r="D8" i="17"/>
  <c r="CG15" i="17"/>
  <c r="CH15" i="17"/>
  <c r="CI15" i="17"/>
  <c r="CJ15" i="17"/>
  <c r="CK15" i="17"/>
  <c r="CL15" i="17"/>
  <c r="CM15" i="17"/>
  <c r="CN15" i="17"/>
  <c r="CO15" i="17"/>
  <c r="CP15" i="17"/>
  <c r="CQ15" i="17"/>
  <c r="O16" i="17"/>
  <c r="P4" i="17"/>
  <c r="N17" i="17"/>
  <c r="N18" i="17"/>
  <c r="CR15" i="17"/>
  <c r="D15" i="17"/>
  <c r="P16" i="17"/>
  <c r="Q4" i="17"/>
  <c r="O17" i="17"/>
  <c r="O18" i="17"/>
  <c r="S4" i="17"/>
  <c r="Q16" i="17"/>
  <c r="R4" i="17"/>
  <c r="P17" i="17"/>
  <c r="P18" i="17"/>
  <c r="Q17" i="17"/>
  <c r="S16" i="17"/>
  <c r="Q18" i="17"/>
  <c r="R16" i="17"/>
  <c r="T4" i="17"/>
  <c r="U4" i="17"/>
  <c r="V4" i="17"/>
  <c r="W4" i="17"/>
  <c r="X4" i="17"/>
  <c r="Y4" i="17"/>
  <c r="Z4" i="17"/>
  <c r="AA4" i="17"/>
  <c r="AB4" i="17"/>
  <c r="AC4" i="17"/>
  <c r="AD4" i="17"/>
  <c r="AF4" i="17"/>
  <c r="AG4" i="17"/>
  <c r="T16" i="17"/>
  <c r="AE4" i="17"/>
  <c r="S17" i="17"/>
  <c r="S18" i="17"/>
  <c r="R17" i="17"/>
  <c r="R18" i="17"/>
  <c r="AH4" i="17"/>
  <c r="AI4" i="17"/>
  <c r="AJ4" i="17"/>
  <c r="AK4" i="17"/>
  <c r="AL4" i="17"/>
  <c r="AM4" i="17"/>
  <c r="AN4" i="17"/>
  <c r="AO4" i="17"/>
  <c r="AP4" i="17"/>
  <c r="AQ4" i="17"/>
  <c r="AS4" i="17"/>
  <c r="AR4" i="17"/>
  <c r="T17" i="17"/>
  <c r="U16" i="17"/>
  <c r="AT4" i="17"/>
  <c r="AU4" i="17"/>
  <c r="AV4" i="17"/>
  <c r="AW4" i="17"/>
  <c r="AX4" i="17"/>
  <c r="AY4" i="17"/>
  <c r="AZ4" i="17"/>
  <c r="BA4" i="17"/>
  <c r="BB4" i="17"/>
  <c r="BC4" i="17"/>
  <c r="BD4" i="17"/>
  <c r="BF4" i="17"/>
  <c r="U17" i="17"/>
  <c r="V17" i="17"/>
  <c r="W17" i="17"/>
  <c r="X17" i="17"/>
  <c r="Y17" i="17"/>
  <c r="Z17" i="17"/>
  <c r="AA17" i="17"/>
  <c r="AB17" i="17"/>
  <c r="AC17" i="17"/>
  <c r="AD17" i="17"/>
  <c r="AF17" i="17"/>
  <c r="T18" i="17"/>
  <c r="BG4" i="17"/>
  <c r="BH4" i="17"/>
  <c r="BI4" i="17"/>
  <c r="BJ4" i="17"/>
  <c r="BK4" i="17"/>
  <c r="BL4" i="17"/>
  <c r="BM4" i="17"/>
  <c r="BN4" i="17"/>
  <c r="BO4" i="17"/>
  <c r="BP4" i="17"/>
  <c r="BQ4" i="17"/>
  <c r="BS4" i="17"/>
  <c r="BE4" i="17"/>
  <c r="V16" i="17"/>
  <c r="U18" i="17"/>
  <c r="AG17" i="17"/>
  <c r="AH17" i="17"/>
  <c r="AI17" i="17"/>
  <c r="AJ17" i="17"/>
  <c r="AK17" i="17"/>
  <c r="AL17" i="17"/>
  <c r="AM17" i="17"/>
  <c r="AN17" i="17"/>
  <c r="AO17" i="17"/>
  <c r="AP17" i="17"/>
  <c r="AQ17" i="17"/>
  <c r="AS17" i="17"/>
  <c r="AE17" i="17"/>
  <c r="BT4" i="17"/>
  <c r="BU4" i="17"/>
  <c r="BV4" i="17"/>
  <c r="BW4" i="17"/>
  <c r="BX4" i="17"/>
  <c r="BY4" i="17"/>
  <c r="BZ4" i="17"/>
  <c r="CA4" i="17"/>
  <c r="CB4" i="17"/>
  <c r="CC4" i="17"/>
  <c r="CD4" i="17"/>
  <c r="CF4" i="17"/>
  <c r="BR4" i="17"/>
  <c r="AR17" i="17"/>
  <c r="W16" i="17"/>
  <c r="V18" i="17"/>
  <c r="AT17" i="17"/>
  <c r="AU17" i="17"/>
  <c r="AV17" i="17"/>
  <c r="AW17" i="17"/>
  <c r="AX17" i="17"/>
  <c r="AY17" i="17"/>
  <c r="AZ17" i="17"/>
  <c r="BA17" i="17"/>
  <c r="BB17" i="17"/>
  <c r="BC17" i="17"/>
  <c r="BD17" i="17"/>
  <c r="BF17" i="17"/>
  <c r="BG17" i="17"/>
  <c r="BE17" i="17"/>
  <c r="CE4" i="17"/>
  <c r="W18" i="17"/>
  <c r="X16" i="17"/>
  <c r="CG4" i="17"/>
  <c r="CH4" i="17"/>
  <c r="CI4" i="17"/>
  <c r="CJ4" i="17"/>
  <c r="CK4" i="17"/>
  <c r="CL4" i="17"/>
  <c r="CM4" i="17"/>
  <c r="CN4" i="17"/>
  <c r="CO4" i="17"/>
  <c r="CP4" i="17"/>
  <c r="CQ4" i="17"/>
  <c r="BH17" i="17"/>
  <c r="BI17" i="17"/>
  <c r="BJ17" i="17"/>
  <c r="BK17" i="17"/>
  <c r="BL17" i="17"/>
  <c r="BM17" i="17"/>
  <c r="BN17" i="17"/>
  <c r="BO17" i="17"/>
  <c r="BP17" i="17"/>
  <c r="BQ17" i="17"/>
  <c r="BS17" i="17"/>
  <c r="BR17" i="17"/>
  <c r="CR4" i="17"/>
  <c r="D4" i="17"/>
  <c r="Y16" i="17"/>
  <c r="X18" i="17"/>
  <c r="BT17" i="17"/>
  <c r="BU17" i="17"/>
  <c r="BV17" i="17"/>
  <c r="BW17" i="17"/>
  <c r="BX17" i="17"/>
  <c r="BY17" i="17"/>
  <c r="BZ17" i="17"/>
  <c r="CA17" i="17"/>
  <c r="CB17" i="17"/>
  <c r="CC17" i="17"/>
  <c r="CD17" i="17"/>
  <c r="CF17" i="17"/>
  <c r="CG17" i="17"/>
  <c r="CH17" i="17"/>
  <c r="CI17" i="17"/>
  <c r="CJ17" i="17"/>
  <c r="CK17" i="17"/>
  <c r="CL17" i="17"/>
  <c r="CM17" i="17"/>
  <c r="CN17" i="17"/>
  <c r="CO17" i="17"/>
  <c r="CP17" i="17"/>
  <c r="CQ17" i="17"/>
  <c r="CE17" i="17"/>
  <c r="Z16" i="17"/>
  <c r="Y18" i="17"/>
  <c r="CR17" i="17"/>
  <c r="AA16" i="17"/>
  <c r="Z18" i="17"/>
  <c r="AB16" i="17"/>
  <c r="AA18" i="17"/>
  <c r="AC16" i="17"/>
  <c r="AB18" i="17"/>
  <c r="AD16" i="17"/>
  <c r="AC18" i="17"/>
  <c r="AD18" i="17"/>
  <c r="AF16" i="17"/>
  <c r="AE16" i="17"/>
  <c r="AG16" i="17"/>
  <c r="AF18" i="17"/>
  <c r="AE18" i="17"/>
  <c r="AH16" i="17"/>
  <c r="AG18" i="17"/>
  <c r="AI16" i="17"/>
  <c r="AH18" i="17"/>
  <c r="AJ16" i="17"/>
  <c r="AI18" i="17"/>
  <c r="AK16" i="17"/>
  <c r="AJ18" i="17"/>
  <c r="AL16" i="17"/>
  <c r="AK18" i="17"/>
  <c r="AM16" i="17"/>
  <c r="AL18" i="17"/>
  <c r="AM18" i="17"/>
  <c r="AN16" i="17"/>
  <c r="AO16" i="17"/>
  <c r="AN18" i="17"/>
  <c r="AP16" i="17"/>
  <c r="AO18" i="17"/>
  <c r="AQ16" i="17"/>
  <c r="AP18" i="17"/>
  <c r="AS16" i="17"/>
  <c r="AQ18" i="17"/>
  <c r="AR16" i="17"/>
  <c r="AR18" i="17"/>
  <c r="AT16" i="17"/>
  <c r="AS18" i="17"/>
  <c r="AU16" i="17"/>
  <c r="AT18" i="17"/>
  <c r="AU18" i="17"/>
  <c r="AV16" i="17"/>
  <c r="AV18" i="17"/>
  <c r="AW16" i="17"/>
  <c r="AX16" i="17"/>
  <c r="AW18" i="17"/>
  <c r="AY16" i="17"/>
  <c r="AX18" i="17"/>
  <c r="AZ16" i="17"/>
  <c r="AY18" i="17"/>
  <c r="BA16" i="17"/>
  <c r="AZ18" i="17"/>
  <c r="BB16" i="17"/>
  <c r="BA18" i="17"/>
  <c r="BC16" i="17"/>
  <c r="BB18" i="17"/>
  <c r="BC18" i="17"/>
  <c r="BD16" i="17"/>
  <c r="BF16" i="17"/>
  <c r="BD18" i="17"/>
  <c r="BE16" i="17"/>
  <c r="BG16" i="17"/>
  <c r="BF18" i="17"/>
  <c r="BE18" i="17"/>
  <c r="BH16" i="17"/>
  <c r="BG18" i="17"/>
  <c r="BI16" i="17"/>
  <c r="BH18" i="17"/>
  <c r="BJ16" i="17"/>
  <c r="BI18" i="17"/>
  <c r="BK16" i="17"/>
  <c r="BJ18" i="17"/>
  <c r="BK18" i="17"/>
  <c r="BL16" i="17"/>
  <c r="BM16" i="17"/>
  <c r="BL18" i="17"/>
  <c r="BN16" i="17"/>
  <c r="BM18" i="17"/>
  <c r="BO16" i="17"/>
  <c r="BN18" i="17"/>
  <c r="BP16" i="17"/>
  <c r="BO18" i="17"/>
  <c r="BQ16" i="17"/>
  <c r="BP18" i="17"/>
  <c r="BS16" i="17"/>
  <c r="BQ18" i="17"/>
  <c r="BR16" i="17"/>
  <c r="BR18" i="17"/>
  <c r="BS18" i="17"/>
  <c r="BT16" i="17"/>
  <c r="BU16" i="17"/>
  <c r="BT18" i="17"/>
  <c r="BV16" i="17"/>
  <c r="BU18" i="17"/>
  <c r="BW16" i="17"/>
  <c r="BV18" i="17"/>
  <c r="BX16" i="17"/>
  <c r="BW18" i="17"/>
  <c r="BY16" i="17"/>
  <c r="BX18" i="17"/>
  <c r="BZ16" i="17"/>
  <c r="BY18" i="17"/>
  <c r="CA16" i="17"/>
  <c r="BZ18" i="17"/>
  <c r="CA18" i="17"/>
  <c r="CB16" i="17"/>
  <c r="CB18" i="17"/>
  <c r="CC16" i="17"/>
  <c r="CD16" i="17"/>
  <c r="CC18" i="17"/>
  <c r="CF16" i="17"/>
  <c r="CD18" i="17"/>
  <c r="CE16" i="17"/>
  <c r="CE18" i="17"/>
  <c r="CG16" i="17"/>
  <c r="CF18" i="17"/>
  <c r="CH16" i="17"/>
  <c r="CG18" i="17"/>
  <c r="CI16" i="17"/>
  <c r="CH18" i="17"/>
  <c r="CI18" i="17"/>
  <c r="CJ16" i="17"/>
  <c r="CJ18" i="17"/>
  <c r="CK16" i="17"/>
  <c r="CL16" i="17"/>
  <c r="CK18" i="17"/>
  <c r="CM16" i="17"/>
  <c r="CL18" i="17"/>
  <c r="CN16" i="17"/>
  <c r="CM18" i="17"/>
  <c r="CO16" i="17"/>
  <c r="CN18" i="17"/>
  <c r="CP16" i="17"/>
  <c r="CO18" i="17"/>
  <c r="CQ16" i="17"/>
  <c r="CP18" i="17"/>
  <c r="CQ18" i="17"/>
  <c r="CR16" i="17"/>
  <c r="CR18" i="17"/>
  <c r="D16" i="17"/>
  <c r="D17" i="17"/>
  <c r="D18" i="17"/>
  <c r="R114" i="2" l="1"/>
  <c r="AA89" i="2"/>
  <c r="Q70" i="2"/>
  <c r="AD82" i="2"/>
  <c r="R90" i="2"/>
  <c r="S91" i="2" s="1"/>
  <c r="T92" i="2" s="1"/>
  <c r="U93" i="2" s="1"/>
  <c r="V94" i="2" s="1"/>
  <c r="W95" i="2" s="1"/>
  <c r="X96" i="2" s="1"/>
  <c r="R89" i="2"/>
  <c r="S90" i="2" s="1"/>
  <c r="T91" i="2" s="1"/>
  <c r="U92" i="2" s="1"/>
  <c r="V93" i="2" s="1"/>
  <c r="W94" i="2" s="1"/>
  <c r="X95" i="2" s="1"/>
  <c r="AD70" i="2"/>
  <c r="AD74" i="2"/>
  <c r="AD78" i="2"/>
  <c r="AD76" i="2"/>
  <c r="R23" i="2"/>
  <c r="AD80" i="2"/>
  <c r="AD81" i="2"/>
  <c r="AQ81" i="2" s="1"/>
  <c r="AD72" i="2"/>
  <c r="C61" i="2"/>
  <c r="P23" i="2"/>
  <c r="T16" i="2"/>
  <c r="S23" i="2"/>
  <c r="Q68" i="2"/>
  <c r="AD68" i="2" s="1"/>
  <c r="C62" i="2"/>
  <c r="B6" i="9"/>
  <c r="B8" i="9" s="1"/>
  <c r="G6" i="8"/>
  <c r="H6" i="8" s="1"/>
  <c r="K6" i="8"/>
  <c r="L6" i="8" s="1"/>
  <c r="C130" i="4"/>
  <c r="D130" i="4"/>
  <c r="E130" i="4"/>
  <c r="F130" i="4"/>
  <c r="G130" i="4"/>
  <c r="H130" i="4"/>
  <c r="I130" i="4"/>
  <c r="J130" i="4"/>
  <c r="L130" i="4"/>
  <c r="M130" i="4"/>
  <c r="N130" i="4"/>
  <c r="O130" i="4"/>
  <c r="P130" i="4"/>
  <c r="Q130" i="4"/>
  <c r="R130" i="4"/>
  <c r="S130" i="4"/>
  <c r="T130" i="4"/>
  <c r="U130" i="4"/>
  <c r="V130" i="4"/>
  <c r="W130" i="4"/>
  <c r="X130" i="4"/>
  <c r="Y130" i="4"/>
  <c r="C43" i="4"/>
  <c r="D43" i="4"/>
  <c r="E43" i="4"/>
  <c r="F43" i="4"/>
  <c r="G43" i="4"/>
  <c r="H43" i="4"/>
  <c r="I43" i="4"/>
  <c r="J43" i="4"/>
  <c r="K43" i="4"/>
  <c r="L43" i="4"/>
  <c r="N43" i="4"/>
  <c r="O43" i="4"/>
  <c r="R43" i="4"/>
  <c r="U43" i="4"/>
  <c r="X43" i="4"/>
  <c r="B43" i="4"/>
  <c r="K130" i="4"/>
  <c r="M43" i="4"/>
  <c r="P43" i="4"/>
  <c r="Q43" i="4"/>
  <c r="S43" i="4"/>
  <c r="T43" i="4"/>
  <c r="V43" i="4"/>
  <c r="W43" i="4"/>
  <c r="Y43" i="4"/>
  <c r="B130" i="4"/>
  <c r="C121" i="2"/>
  <c r="C122" i="2"/>
  <c r="C123" i="2"/>
  <c r="C124" i="2"/>
  <c r="C125" i="2"/>
  <c r="C126" i="2"/>
  <c r="C127" i="2"/>
  <c r="C128" i="2"/>
  <c r="C129" i="2"/>
  <c r="C130"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E195" i="2"/>
  <c r="E84" i="2"/>
  <c r="CP83" i="2"/>
  <c r="CP57" i="2" s="1"/>
  <c r="CO83" i="2"/>
  <c r="CO57" i="2" s="1"/>
  <c r="CN83" i="2"/>
  <c r="CN57" i="2" s="1"/>
  <c r="CC83" i="2"/>
  <c r="CC57" i="2" s="1"/>
  <c r="CB83" i="2"/>
  <c r="CB57" i="2" s="1"/>
  <c r="B6" i="11"/>
  <c r="B8" i="11" s="1"/>
  <c r="AA128" i="4"/>
  <c r="E186" i="2"/>
  <c r="AA41" i="4"/>
  <c r="F314" i="4"/>
  <c r="B11" i="4"/>
  <c r="F183" i="2"/>
  <c r="F182" i="2"/>
  <c r="B6" i="10"/>
  <c r="B8" i="10" s="1"/>
  <c r="B10" i="10" s="1"/>
  <c r="B11" i="10" s="1"/>
  <c r="H24" i="2"/>
  <c r="G24" i="2"/>
  <c r="T164" i="2"/>
  <c r="T114" i="2"/>
  <c r="AF45" i="2"/>
  <c r="AG45" i="2" s="1"/>
  <c r="AH45" i="2" s="1"/>
  <c r="AI45" i="2" s="1"/>
  <c r="AB89" i="2"/>
  <c r="CD46" i="2"/>
  <c r="CQ46" i="2"/>
  <c r="C58" i="2"/>
  <c r="U164" i="2"/>
  <c r="U114" i="2"/>
  <c r="AC164" i="2"/>
  <c r="AD116" i="2"/>
  <c r="AD164" i="2" s="1"/>
  <c r="CD84" i="2"/>
  <c r="BQ46" i="2"/>
  <c r="C59" i="2"/>
  <c r="AD163" i="2"/>
  <c r="C56" i="2"/>
  <c r="V114" i="2"/>
  <c r="V164" i="2"/>
  <c r="C60" i="2"/>
  <c r="Y93" i="2"/>
  <c r="AI94" i="2" s="1"/>
  <c r="S57" i="2"/>
  <c r="AD52" i="2"/>
  <c r="F244" i="4"/>
  <c r="B247" i="4"/>
  <c r="B53" i="18"/>
  <c r="B55" i="18" s="1"/>
  <c r="F50" i="18"/>
  <c r="AH54" i="18" s="1"/>
  <c r="B6" i="13"/>
  <c r="B8" i="13" s="1"/>
  <c r="B10" i="13" s="1"/>
  <c r="B11" i="13" s="1"/>
  <c r="B13" i="13" s="1"/>
  <c r="B14" i="13" s="1"/>
  <c r="B16" i="13" s="1"/>
  <c r="B6" i="12"/>
  <c r="B8" i="12" s="1"/>
  <c r="B10" i="12" s="1"/>
  <c r="B11" i="12" s="1"/>
  <c r="B39" i="18"/>
  <c r="B41" i="18" s="1"/>
  <c r="F36" i="18"/>
  <c r="B11" i="18"/>
  <c r="B13" i="18" s="1"/>
  <c r="F8" i="18"/>
  <c r="C13" i="8"/>
  <c r="D13" i="8" s="1"/>
  <c r="E13" i="8" s="1"/>
  <c r="F13" i="8" s="1"/>
  <c r="C9" i="8"/>
  <c r="D9" i="8" s="1"/>
  <c r="E9" i="8" s="1"/>
  <c r="F9" i="8" s="1"/>
  <c r="F184" i="4"/>
  <c r="B187" i="4"/>
  <c r="C21" i="2"/>
  <c r="Q52" i="2"/>
  <c r="W89" i="2"/>
  <c r="AA87" i="2"/>
  <c r="X89" i="2" s="1"/>
  <c r="F22" i="18"/>
  <c r="B25" i="18"/>
  <c r="B27" i="18" s="1"/>
  <c r="BQ83" i="2"/>
  <c r="BK57" i="2"/>
  <c r="BQ57" i="2" s="1"/>
  <c r="CF83" i="2"/>
  <c r="CE57" i="2"/>
  <c r="BS83" i="2"/>
  <c r="BR57" i="2"/>
  <c r="E9" i="14"/>
  <c r="P10" i="14"/>
  <c r="E29" i="14" s="1"/>
  <c r="N28" i="6"/>
  <c r="P86" i="2" s="1"/>
  <c r="AD86" i="2" s="1"/>
  <c r="O85" i="2"/>
  <c r="F82" i="4"/>
  <c r="B85" i="4"/>
  <c r="M26" i="17"/>
  <c r="L54" i="2" s="1"/>
  <c r="C8" i="8"/>
  <c r="D8" i="8" s="1"/>
  <c r="E8" i="8" s="1"/>
  <c r="F8" i="8" s="1"/>
  <c r="C11" i="8"/>
  <c r="D11" i="8" s="1"/>
  <c r="E11" i="8" s="1"/>
  <c r="F11" i="8" s="1"/>
  <c r="C14" i="8"/>
  <c r="D14" i="8" s="1"/>
  <c r="E14" i="8" s="1"/>
  <c r="F14" i="8" s="1"/>
  <c r="C12" i="8"/>
  <c r="D12" i="8" s="1"/>
  <c r="E12" i="8" s="1"/>
  <c r="F12" i="8" s="1"/>
  <c r="C10" i="8"/>
  <c r="D10" i="8" s="1"/>
  <c r="E10" i="8" s="1"/>
  <c r="F10" i="8" s="1"/>
  <c r="I84" i="2"/>
  <c r="L87" i="2"/>
  <c r="W164" i="2"/>
  <c r="W114" i="2"/>
  <c r="S164" i="2"/>
  <c r="S114" i="2"/>
  <c r="H17" i="2"/>
  <c r="I57" i="2"/>
  <c r="I46" i="2"/>
  <c r="I24" i="2" s="1"/>
  <c r="C17" i="8"/>
  <c r="C16" i="8"/>
  <c r="D16" i="8" s="1"/>
  <c r="E16" i="8" s="1"/>
  <c r="F16" i="8" s="1"/>
  <c r="C15" i="8"/>
  <c r="M6" i="8"/>
  <c r="N6" i="8" s="1"/>
  <c r="F342" i="4"/>
  <c r="R346" i="4" s="1"/>
  <c r="B345" i="4"/>
  <c r="B349" i="4" s="1"/>
  <c r="C345" i="4" s="1"/>
  <c r="C349" i="4" s="1"/>
  <c r="D345" i="4" s="1"/>
  <c r="Q332" i="4"/>
  <c r="W262" i="4"/>
  <c r="O262" i="4"/>
  <c r="N262" i="4"/>
  <c r="Q164" i="2"/>
  <c r="Q114" i="2"/>
  <c r="C20" i="2"/>
  <c r="CQ104" i="2"/>
  <c r="CM84" i="2"/>
  <c r="CQ84" i="2" s="1"/>
  <c r="X23" i="17"/>
  <c r="X18" i="2"/>
  <c r="BF30" i="2"/>
  <c r="AQ89" i="2"/>
  <c r="BD30" i="2"/>
  <c r="F229" i="4"/>
  <c r="F214" i="4"/>
  <c r="F199" i="4"/>
  <c r="F169" i="4"/>
  <c r="F154" i="4"/>
  <c r="F139" i="4"/>
  <c r="F125" i="4"/>
  <c r="F97" i="4"/>
  <c r="F66" i="4"/>
  <c r="F52" i="4"/>
  <c r="F38" i="4"/>
  <c r="F23" i="4"/>
  <c r="F8" i="4"/>
  <c r="O236" i="4"/>
  <c r="P232" i="4" s="1"/>
  <c r="O234" i="4"/>
  <c r="C157" i="4"/>
  <c r="T73" i="4"/>
  <c r="U69" i="4" s="1"/>
  <c r="T71" i="4"/>
  <c r="V57" i="4"/>
  <c r="V59" i="4"/>
  <c r="W55" i="4" s="1"/>
  <c r="F202" i="4"/>
  <c r="R88" i="2"/>
  <c r="E13" i="5"/>
  <c r="E23" i="5"/>
  <c r="E24" i="5" s="1"/>
  <c r="C28" i="5"/>
  <c r="E28" i="5" s="1"/>
  <c r="C27" i="5"/>
  <c r="CE16" i="16"/>
  <c r="R7" i="16"/>
  <c r="R6" i="16"/>
  <c r="BR16" i="16"/>
  <c r="CH16" i="16"/>
  <c r="U14" i="16"/>
  <c r="CJ18" i="16"/>
  <c r="BU18" i="16"/>
  <c r="BV18" i="16" s="1"/>
  <c r="BW18" i="16" s="1"/>
  <c r="BX18" i="16" s="1"/>
  <c r="BY18" i="16" s="1"/>
  <c r="BZ18" i="16" s="1"/>
  <c r="CA18" i="16" s="1"/>
  <c r="CB18" i="16" s="1"/>
  <c r="CC18" i="16" s="1"/>
  <c r="CD18" i="16" s="1"/>
  <c r="CE18" i="16"/>
  <c r="AU18" i="16"/>
  <c r="AV18" i="16" s="1"/>
  <c r="AW18" i="16" s="1"/>
  <c r="AX18" i="16" s="1"/>
  <c r="AY18" i="16" s="1"/>
  <c r="AZ18" i="16" s="1"/>
  <c r="BA18" i="16" s="1"/>
  <c r="BB18" i="16" s="1"/>
  <c r="BC18" i="16" s="1"/>
  <c r="U18" i="16"/>
  <c r="AU16" i="16"/>
  <c r="AV16" i="16" s="1"/>
  <c r="AW16" i="16" s="1"/>
  <c r="AX16" i="16" s="1"/>
  <c r="U16" i="16"/>
  <c r="H16" i="16"/>
  <c r="T13" i="16"/>
  <c r="T12" i="16"/>
  <c r="H11" i="16"/>
  <c r="I11" i="16" s="1"/>
  <c r="J11" i="16" s="1"/>
  <c r="K11" i="16" s="1"/>
  <c r="L11" i="16" s="1"/>
  <c r="M11" i="16" s="1"/>
  <c r="N11" i="16" s="1"/>
  <c r="O11" i="16" s="1"/>
  <c r="P11" i="16" s="1"/>
  <c r="Q11" i="16" s="1"/>
  <c r="S11" i="16" s="1"/>
  <c r="R11" i="16"/>
  <c r="G10" i="16"/>
  <c r="F19" i="16"/>
  <c r="H9" i="16"/>
  <c r="AH8" i="16"/>
  <c r="AI8" i="16" s="1"/>
  <c r="AJ8" i="16" s="1"/>
  <c r="AK8" i="16" s="1"/>
  <c r="AL8" i="16" s="1"/>
  <c r="AM8" i="16" s="1"/>
  <c r="H8" i="16"/>
  <c r="T7" i="16"/>
  <c r="AT6" i="16"/>
  <c r="T6" i="16"/>
  <c r="AT5" i="16"/>
  <c r="AR5" i="16"/>
  <c r="H5" i="16"/>
  <c r="AJ4" i="16"/>
  <c r="J4" i="16"/>
  <c r="BR18" i="16"/>
  <c r="AR18" i="16"/>
  <c r="R18" i="16"/>
  <c r="R12" i="16"/>
  <c r="AR6" i="16"/>
  <c r="J84" i="2"/>
  <c r="M87" i="2"/>
  <c r="L27" i="6"/>
  <c r="N86" i="2" s="1"/>
  <c r="M85" i="2"/>
  <c r="K14" i="7"/>
  <c r="U28" i="4"/>
  <c r="D234" i="4"/>
  <c r="X174" i="4"/>
  <c r="L234" i="4"/>
  <c r="K28" i="4"/>
  <c r="B305" i="4"/>
  <c r="Q174" i="4"/>
  <c r="J144" i="4"/>
  <c r="E204" i="4"/>
  <c r="S57" i="4"/>
  <c r="M102" i="4"/>
  <c r="H219" i="4"/>
  <c r="G102" i="4"/>
  <c r="U102" i="4"/>
  <c r="O71" i="4"/>
  <c r="C57" i="4"/>
  <c r="Y102" i="4"/>
  <c r="M57" i="4"/>
  <c r="F219" i="4"/>
  <c r="B219" i="4"/>
  <c r="T116" i="4"/>
  <c r="M144" i="4"/>
  <c r="J116" i="4"/>
  <c r="Y116" i="4"/>
  <c r="P102" i="4"/>
  <c r="V28" i="4"/>
  <c r="W174" i="4"/>
  <c r="N71" i="4"/>
  <c r="N174" i="4"/>
  <c r="D144" i="4"/>
  <c r="X116" i="4"/>
  <c r="L174" i="4"/>
  <c r="J219" i="4"/>
  <c r="H234" i="4"/>
  <c r="E71" i="4"/>
  <c r="I102" i="4"/>
  <c r="D28" i="4"/>
  <c r="N332" i="4"/>
  <c r="B174" i="4"/>
  <c r="T102" i="4"/>
  <c r="B317" i="4"/>
  <c r="B319" i="4" s="1"/>
  <c r="U57" i="4"/>
  <c r="P144" i="4"/>
  <c r="O144" i="4"/>
  <c r="N116" i="4"/>
  <c r="M71" i="4"/>
  <c r="V332" i="4"/>
  <c r="F272" i="4"/>
  <c r="J174" i="4"/>
  <c r="F174" i="4"/>
  <c r="E28" i="4"/>
  <c r="T144" i="4"/>
  <c r="S144" i="4"/>
  <c r="S28" i="4"/>
  <c r="I144" i="4"/>
  <c r="E144" i="4"/>
  <c r="S102" i="4"/>
  <c r="E116" i="4"/>
  <c r="E174" i="4"/>
  <c r="K116" i="4"/>
  <c r="I57" i="4"/>
  <c r="L144" i="4"/>
  <c r="M234" i="4"/>
  <c r="G144" i="4"/>
  <c r="T28" i="4"/>
  <c r="O116" i="4"/>
  <c r="H116" i="4"/>
  <c r="I174" i="4"/>
  <c r="I219" i="4"/>
  <c r="C116" i="4"/>
  <c r="C71" i="4"/>
  <c r="B102" i="4"/>
  <c r="B261" i="4"/>
  <c r="B204" i="4"/>
  <c r="B307" i="4"/>
  <c r="C303" i="4" s="1"/>
  <c r="F300" i="4"/>
  <c r="F286" i="4"/>
  <c r="B234" i="4"/>
  <c r="C333" i="4"/>
  <c r="C335" i="4"/>
  <c r="D331" i="4" s="1"/>
  <c r="B333" i="4"/>
  <c r="T262" i="4"/>
  <c r="Q262" i="4"/>
  <c r="M262" i="4"/>
  <c r="U262" i="4"/>
  <c r="V262" i="4"/>
  <c r="Y262" i="4"/>
  <c r="X262" i="4"/>
  <c r="P262" i="4"/>
  <c r="R262" i="4"/>
  <c r="S262" i="4"/>
  <c r="B293" i="4"/>
  <c r="C289" i="4" s="1"/>
  <c r="B291" i="4"/>
  <c r="P332" i="4"/>
  <c r="M332" i="4"/>
  <c r="U332" i="4"/>
  <c r="S332" i="4"/>
  <c r="X332" i="4"/>
  <c r="Y332" i="4"/>
  <c r="T332" i="4"/>
  <c r="B159" i="4"/>
  <c r="E234" i="4"/>
  <c r="F71" i="4"/>
  <c r="F144" i="4"/>
  <c r="H174" i="4"/>
  <c r="H144" i="4"/>
  <c r="I71" i="4"/>
  <c r="H28" i="4"/>
  <c r="L219" i="4"/>
  <c r="L28" i="4"/>
  <c r="B57" i="4"/>
  <c r="C234" i="4"/>
  <c r="C204" i="4"/>
  <c r="G234" i="4"/>
  <c r="J234" i="4"/>
  <c r="K71" i="4"/>
  <c r="L102" i="4"/>
  <c r="M28" i="4"/>
  <c r="N28" i="4"/>
  <c r="N102" i="4"/>
  <c r="O28" i="4"/>
  <c r="D57" i="4"/>
  <c r="F234" i="4"/>
  <c r="F28" i="4"/>
  <c r="G116" i="4"/>
  <c r="H57" i="4"/>
  <c r="I116" i="4"/>
  <c r="K144" i="4"/>
  <c r="K57" i="4"/>
  <c r="M174" i="4"/>
  <c r="L57" i="4"/>
  <c r="P28" i="4"/>
  <c r="S116" i="4"/>
  <c r="T174" i="4"/>
  <c r="U144" i="4"/>
  <c r="B71" i="4"/>
  <c r="C219" i="4"/>
  <c r="C144" i="4"/>
  <c r="E102" i="4"/>
  <c r="H71" i="4"/>
  <c r="O174" i="4"/>
  <c r="T57" i="4"/>
  <c r="X28" i="4"/>
  <c r="K174" i="4"/>
  <c r="P57" i="4"/>
  <c r="V174" i="4"/>
  <c r="W28" i="4"/>
  <c r="D71" i="4"/>
  <c r="E57" i="4"/>
  <c r="D204" i="4"/>
  <c r="G219" i="4"/>
  <c r="G57" i="4"/>
  <c r="I234" i="4"/>
  <c r="M219" i="4"/>
  <c r="L116" i="4"/>
  <c r="N234" i="4"/>
  <c r="P71" i="4"/>
  <c r="Q71" i="4"/>
  <c r="B116" i="4"/>
  <c r="B28" i="4"/>
  <c r="G174" i="4"/>
  <c r="M116" i="4"/>
  <c r="N57" i="4"/>
  <c r="N144" i="4"/>
  <c r="V144" i="4"/>
  <c r="W144" i="4"/>
  <c r="Y28" i="4"/>
  <c r="D219" i="4"/>
  <c r="F116" i="4"/>
  <c r="H102" i="4"/>
  <c r="I28" i="4"/>
  <c r="J57" i="4"/>
  <c r="P174" i="4"/>
  <c r="U174" i="4"/>
  <c r="U116" i="4"/>
  <c r="W116" i="4"/>
  <c r="Y144" i="4"/>
  <c r="W102" i="4"/>
  <c r="O57" i="4"/>
  <c r="F57" i="4"/>
  <c r="W332" i="4"/>
  <c r="V102" i="4"/>
  <c r="V116" i="4"/>
  <c r="F102" i="4"/>
  <c r="G71" i="4"/>
  <c r="D102" i="4"/>
  <c r="X102" i="4"/>
  <c r="X144" i="4"/>
  <c r="P116" i="4"/>
  <c r="O102" i="4"/>
  <c r="K219" i="4"/>
  <c r="J71" i="4"/>
  <c r="D116" i="4"/>
  <c r="C174" i="4"/>
  <c r="F111" i="4"/>
  <c r="Y174" i="4"/>
  <c r="K102" i="4"/>
  <c r="L71" i="4"/>
  <c r="J28" i="4"/>
  <c r="K234" i="4"/>
  <c r="J102" i="4"/>
  <c r="E219" i="4"/>
  <c r="C102" i="4"/>
  <c r="R332" i="4"/>
  <c r="O332" i="4"/>
  <c r="B144" i="4"/>
  <c r="B277" i="4"/>
  <c r="R71" i="4"/>
  <c r="Q116" i="4"/>
  <c r="Q102" i="4"/>
  <c r="Q28" i="4"/>
  <c r="D174" i="4"/>
  <c r="C28" i="4"/>
  <c r="S71" i="4"/>
  <c r="G28" i="4"/>
  <c r="R102" i="4"/>
  <c r="S174" i="4"/>
  <c r="R144" i="4"/>
  <c r="R116" i="4"/>
  <c r="R28" i="4"/>
  <c r="R57" i="4"/>
  <c r="Q57" i="4"/>
  <c r="R174" i="4"/>
  <c r="Q144" i="4"/>
  <c r="C279" i="4"/>
  <c r="D275" i="4" s="1"/>
  <c r="C277" i="4"/>
  <c r="C347" i="4" l="1"/>
  <c r="N346" i="4"/>
  <c r="O346" i="4"/>
  <c r="S346" i="4"/>
  <c r="W346" i="4"/>
  <c r="M346" i="4"/>
  <c r="T346" i="4"/>
  <c r="Q346" i="4"/>
  <c r="Y346" i="4"/>
  <c r="V346" i="4"/>
  <c r="B347" i="4"/>
  <c r="X346" i="4"/>
  <c r="U346" i="4"/>
  <c r="P346" i="4"/>
  <c r="Q86" i="2"/>
  <c r="AM167" i="2"/>
  <c r="AG167" i="2"/>
  <c r="AN167" i="2"/>
  <c r="AI167" i="2"/>
  <c r="AL167" i="2"/>
  <c r="AO167" i="2"/>
  <c r="AP167" i="2"/>
  <c r="AH167" i="2"/>
  <c r="AJ167" i="2"/>
  <c r="AE167" i="2"/>
  <c r="AF167" i="2"/>
  <c r="AK167" i="2"/>
  <c r="AA95" i="2"/>
  <c r="AB96" i="2" s="1"/>
  <c r="AC97" i="2" s="1"/>
  <c r="AE98" i="2" s="1"/>
  <c r="AQ94" i="2"/>
  <c r="Q87" i="2"/>
  <c r="AD46" i="2"/>
  <c r="U16" i="2"/>
  <c r="T23" i="2"/>
  <c r="B15" i="4"/>
  <c r="C11" i="4" s="1"/>
  <c r="B13" i="4"/>
  <c r="AN12" i="4"/>
  <c r="BD12" i="4"/>
  <c r="BT12" i="4"/>
  <c r="BK12" i="4"/>
  <c r="CB12" i="4"/>
  <c r="AZ12" i="4"/>
  <c r="AK12" i="4"/>
  <c r="AM12" i="4"/>
  <c r="AO12" i="4"/>
  <c r="BE12" i="4"/>
  <c r="BU12" i="4"/>
  <c r="AE12" i="4"/>
  <c r="BL12" i="4"/>
  <c r="BP12" i="4"/>
  <c r="BR12" i="4"/>
  <c r="CE42" i="4"/>
  <c r="CF12" i="4"/>
  <c r="AP12" i="4"/>
  <c r="BF12" i="4"/>
  <c r="BV12" i="4"/>
  <c r="AU12" i="4"/>
  <c r="AV12" i="4"/>
  <c r="AB12" i="4"/>
  <c r="BQ12" i="4"/>
  <c r="BB12" i="4"/>
  <c r="BS12" i="4"/>
  <c r="CG12" i="4"/>
  <c r="AQ12" i="4"/>
  <c r="BG12" i="4"/>
  <c r="BW12" i="4"/>
  <c r="AL12" i="4"/>
  <c r="CH12" i="4"/>
  <c r="AR12" i="4"/>
  <c r="BH12" i="4"/>
  <c r="BX12" i="4"/>
  <c r="AC12" i="4"/>
  <c r="AS12" i="4"/>
  <c r="BI12" i="4"/>
  <c r="BY12" i="4"/>
  <c r="AD12" i="4"/>
  <c r="AT12" i="4"/>
  <c r="BJ12" i="4"/>
  <c r="BZ12" i="4"/>
  <c r="CA12" i="4"/>
  <c r="AF12" i="4"/>
  <c r="AG12" i="4"/>
  <c r="AW12" i="4"/>
  <c r="BM12" i="4"/>
  <c r="CC12" i="4"/>
  <c r="AH12" i="4"/>
  <c r="AX12" i="4"/>
  <c r="BN12" i="4"/>
  <c r="CD12" i="4"/>
  <c r="AI12" i="4"/>
  <c r="AY12" i="4"/>
  <c r="BO12" i="4"/>
  <c r="CE12" i="4"/>
  <c r="AJ12" i="4"/>
  <c r="BA12" i="4"/>
  <c r="BC12" i="4"/>
  <c r="AQ79" i="2"/>
  <c r="B10" i="11"/>
  <c r="B11" i="11" s="1"/>
  <c r="C67" i="2"/>
  <c r="B10" i="9"/>
  <c r="B11" i="9" s="1"/>
  <c r="Z43" i="4"/>
  <c r="AA43" i="4" s="1"/>
  <c r="Z130" i="4"/>
  <c r="AA130" i="4" s="1"/>
  <c r="AN131" i="2" s="1"/>
  <c r="AM129" i="4"/>
  <c r="AN129" i="4" s="1"/>
  <c r="AK129" i="4"/>
  <c r="AL129" i="4"/>
  <c r="AC129" i="4"/>
  <c r="AJ129" i="4"/>
  <c r="AI129" i="4"/>
  <c r="AH129" i="4"/>
  <c r="AG129" i="4"/>
  <c r="AF129" i="4"/>
  <c r="AE129" i="4"/>
  <c r="AD129" i="4"/>
  <c r="AB129" i="4"/>
  <c r="AT42" i="4"/>
  <c r="AY42" i="4"/>
  <c r="BA42" i="4"/>
  <c r="BD42" i="4"/>
  <c r="BG42" i="4"/>
  <c r="BI42" i="4"/>
  <c r="BK42" i="4"/>
  <c r="BN42" i="4"/>
  <c r="BQ42" i="4"/>
  <c r="BR42" i="4"/>
  <c r="BS42" i="4"/>
  <c r="BT42" i="4"/>
  <c r="BU42" i="4"/>
  <c r="BV42" i="4"/>
  <c r="BW42" i="4"/>
  <c r="BX42" i="4"/>
  <c r="BY42" i="4"/>
  <c r="BZ42" i="4"/>
  <c r="CA42" i="4"/>
  <c r="CC42" i="4"/>
  <c r="CD42" i="4"/>
  <c r="AB42" i="4"/>
  <c r="AV42" i="4"/>
  <c r="AC42" i="4"/>
  <c r="AE42" i="4"/>
  <c r="AG42" i="4"/>
  <c r="AI42" i="4"/>
  <c r="AK42" i="4"/>
  <c r="AM42" i="4"/>
  <c r="CB42" i="4"/>
  <c r="AP42" i="4"/>
  <c r="AD42" i="4"/>
  <c r="AF42" i="4"/>
  <c r="AH42" i="4"/>
  <c r="AJ42" i="4"/>
  <c r="AL42" i="4"/>
  <c r="AN42" i="4"/>
  <c r="AO42" i="4"/>
  <c r="AQ42" i="4"/>
  <c r="AR42" i="4"/>
  <c r="AS42" i="4"/>
  <c r="AU42" i="4"/>
  <c r="AW42" i="4"/>
  <c r="AX42" i="4"/>
  <c r="AZ42" i="4"/>
  <c r="BB42" i="4"/>
  <c r="BC42" i="4"/>
  <c r="BE42" i="4"/>
  <c r="BF42" i="4"/>
  <c r="BH42" i="4"/>
  <c r="BJ42" i="4"/>
  <c r="BL42" i="4"/>
  <c r="BM42" i="4"/>
  <c r="BO42" i="4"/>
  <c r="BP42" i="4"/>
  <c r="T318" i="4"/>
  <c r="U318" i="4"/>
  <c r="O318" i="4"/>
  <c r="V318" i="4"/>
  <c r="Q318" i="4"/>
  <c r="P318" i="4"/>
  <c r="S318" i="4"/>
  <c r="X318" i="4"/>
  <c r="M318" i="4"/>
  <c r="W318" i="4"/>
  <c r="N318" i="4"/>
  <c r="R318" i="4"/>
  <c r="Y318" i="4"/>
  <c r="B13" i="10"/>
  <c r="B14" i="10" s="1"/>
  <c r="B16" i="10" s="1"/>
  <c r="G182" i="2"/>
  <c r="G183" i="2"/>
  <c r="BD79" i="2"/>
  <c r="AQ76" i="2"/>
  <c r="C76" i="2" s="1"/>
  <c r="AL57" i="2"/>
  <c r="AG57" i="2"/>
  <c r="AQ73" i="2"/>
  <c r="AF57" i="2"/>
  <c r="M57" i="2"/>
  <c r="Q65" i="2"/>
  <c r="C65" i="2" s="1"/>
  <c r="X57" i="2"/>
  <c r="C52" i="2"/>
  <c r="AT46" i="2"/>
  <c r="AE102" i="2"/>
  <c r="Y97" i="2"/>
  <c r="Z98" i="2" s="1"/>
  <c r="AS46" i="2"/>
  <c r="O57" i="2"/>
  <c r="Q66" i="2"/>
  <c r="T87" i="2"/>
  <c r="W57" i="2"/>
  <c r="C69" i="2"/>
  <c r="B251" i="4"/>
  <c r="C247" i="4" s="1"/>
  <c r="B249" i="4"/>
  <c r="CE54" i="18"/>
  <c r="D54" i="18"/>
  <c r="BW54" i="18"/>
  <c r="BG54" i="18"/>
  <c r="J54" i="18"/>
  <c r="E54" i="18"/>
  <c r="AW54" i="18"/>
  <c r="AI54" i="18"/>
  <c r="AA54" i="18"/>
  <c r="S54" i="18"/>
  <c r="K54" i="18"/>
  <c r="C54" i="18"/>
  <c r="CD54" i="18"/>
  <c r="BF54" i="18"/>
  <c r="AX54" i="18"/>
  <c r="Z54" i="18"/>
  <c r="T54" i="18"/>
  <c r="AF54" i="18"/>
  <c r="X54" i="18"/>
  <c r="P54" i="18"/>
  <c r="BC54" i="18"/>
  <c r="W54" i="18"/>
  <c r="AE54" i="18"/>
  <c r="G54" i="18"/>
  <c r="BJ54" i="18"/>
  <c r="BB54" i="18"/>
  <c r="AL54" i="18"/>
  <c r="V54" i="18"/>
  <c r="N54" i="18"/>
  <c r="F54" i="18"/>
  <c r="BY54" i="18"/>
  <c r="AS54" i="18"/>
  <c r="M54" i="18"/>
  <c r="BX54" i="18"/>
  <c r="BH54" i="18"/>
  <c r="AR54" i="18"/>
  <c r="BO54" i="18"/>
  <c r="AY54" i="18"/>
  <c r="AB54" i="18"/>
  <c r="BN54" i="18"/>
  <c r="AP54" i="18"/>
  <c r="R54" i="18"/>
  <c r="B54" i="18"/>
  <c r="B56" i="18" s="1"/>
  <c r="B57" i="18" s="1"/>
  <c r="C53" i="18" s="1"/>
  <c r="C55" i="18" s="1"/>
  <c r="L54" i="18"/>
  <c r="Y54" i="18"/>
  <c r="BD54" i="18"/>
  <c r="H54" i="18"/>
  <c r="AM54" i="18"/>
  <c r="O54" i="18"/>
  <c r="BZ54" i="18"/>
  <c r="AQ54" i="18"/>
  <c r="AT54" i="18"/>
  <c r="AD54" i="18"/>
  <c r="CG54" i="18"/>
  <c r="BQ54" i="18"/>
  <c r="BA54" i="18"/>
  <c r="AC54" i="18"/>
  <c r="U54" i="18"/>
  <c r="CF54" i="18"/>
  <c r="BP54" i="18"/>
  <c r="AZ54" i="18"/>
  <c r="AJ54" i="18"/>
  <c r="BR54" i="18"/>
  <c r="AK54" i="18"/>
  <c r="BV54" i="18"/>
  <c r="CC54" i="18"/>
  <c r="BU54" i="18"/>
  <c r="BM54" i="18"/>
  <c r="BE54" i="18"/>
  <c r="BI54" i="18"/>
  <c r="AO54" i="18"/>
  <c r="AG54" i="18"/>
  <c r="Q54" i="18"/>
  <c r="I54" i="18"/>
  <c r="CB54" i="18"/>
  <c r="BT54" i="18"/>
  <c r="BL54" i="18"/>
  <c r="AV54" i="18"/>
  <c r="AN54" i="18"/>
  <c r="CA54" i="18"/>
  <c r="BS54" i="18"/>
  <c r="BK54" i="18"/>
  <c r="AU54" i="18"/>
  <c r="CG40" i="18"/>
  <c r="BL40" i="18"/>
  <c r="P40" i="18"/>
  <c r="O40" i="18"/>
  <c r="BB40" i="18"/>
  <c r="N40" i="18"/>
  <c r="BA40" i="18"/>
  <c r="AG40" i="18"/>
  <c r="AE40" i="18"/>
  <c r="AC40" i="18"/>
  <c r="AO40" i="18"/>
  <c r="CF40" i="18"/>
  <c r="CA40" i="18"/>
  <c r="AF40" i="18"/>
  <c r="AV40" i="18"/>
  <c r="BR40" i="18"/>
  <c r="AD40" i="18"/>
  <c r="BY40" i="18"/>
  <c r="F40" i="18"/>
  <c r="AU40" i="18"/>
  <c r="BZ40" i="18"/>
  <c r="AL40" i="18"/>
  <c r="AK40" i="18"/>
  <c r="K13" i="8"/>
  <c r="L13" i="8" s="1"/>
  <c r="M13" i="8" s="1"/>
  <c r="N13" i="8" s="1"/>
  <c r="G13" i="8"/>
  <c r="H13" i="8" s="1"/>
  <c r="BP40" i="18"/>
  <c r="AR40" i="18"/>
  <c r="L40" i="18"/>
  <c r="BW40" i="18"/>
  <c r="BG40" i="18"/>
  <c r="AI40" i="18"/>
  <c r="S40" i="18"/>
  <c r="CE40" i="18"/>
  <c r="BN40" i="18"/>
  <c r="AX40" i="18"/>
  <c r="J40" i="18"/>
  <c r="BE40" i="18"/>
  <c r="Q40" i="18"/>
  <c r="Y40" i="18"/>
  <c r="BU40" i="18"/>
  <c r="AZ40" i="18"/>
  <c r="T40" i="18"/>
  <c r="AA40" i="18"/>
  <c r="BV40" i="18"/>
  <c r="Z40" i="18"/>
  <c r="R40" i="18"/>
  <c r="AW40" i="18"/>
  <c r="BT40" i="18"/>
  <c r="CB40" i="18"/>
  <c r="BD40" i="18"/>
  <c r="X40" i="18"/>
  <c r="H40" i="18"/>
  <c r="BK40" i="18"/>
  <c r="AM40" i="18"/>
  <c r="G40" i="18"/>
  <c r="AT40" i="18"/>
  <c r="M40" i="18"/>
  <c r="BI40" i="18"/>
  <c r="W40" i="18"/>
  <c r="BJ40" i="18"/>
  <c r="V40" i="18"/>
  <c r="BQ40" i="18"/>
  <c r="AS40" i="18"/>
  <c r="BX40" i="18"/>
  <c r="BH40" i="18"/>
  <c r="AJ40" i="18"/>
  <c r="BO40" i="18"/>
  <c r="AY40" i="18"/>
  <c r="K40" i="18"/>
  <c r="AH40" i="18"/>
  <c r="B40" i="18"/>
  <c r="B42" i="18" s="1"/>
  <c r="B43" i="18" s="1"/>
  <c r="C39" i="18" s="1"/>
  <c r="C41" i="18" s="1"/>
  <c r="BM40" i="18"/>
  <c r="CD40" i="18"/>
  <c r="I40" i="18"/>
  <c r="E40" i="18"/>
  <c r="AB40" i="18"/>
  <c r="AQ40" i="18"/>
  <c r="C40" i="18"/>
  <c r="BF40" i="18"/>
  <c r="AP40" i="18"/>
  <c r="D40" i="18"/>
  <c r="CC40" i="18"/>
  <c r="U40" i="18"/>
  <c r="AN40" i="18"/>
  <c r="BS40" i="18"/>
  <c r="BC40" i="18"/>
  <c r="BH12" i="18"/>
  <c r="BP12" i="18"/>
  <c r="CB12" i="18"/>
  <c r="CF12" i="18"/>
  <c r="E12" i="18"/>
  <c r="M12" i="18"/>
  <c r="U12" i="18"/>
  <c r="BY12" i="18"/>
  <c r="AC12" i="18"/>
  <c r="AK12" i="18"/>
  <c r="AS12" i="18"/>
  <c r="BA12" i="18"/>
  <c r="BQ12" i="18"/>
  <c r="CG12" i="18"/>
  <c r="F12" i="18"/>
  <c r="N12" i="18"/>
  <c r="V12" i="18"/>
  <c r="AD12" i="18"/>
  <c r="AL12" i="18"/>
  <c r="AT12" i="18"/>
  <c r="BB12" i="18"/>
  <c r="BJ12" i="18"/>
  <c r="BR12" i="18"/>
  <c r="BZ12" i="18"/>
  <c r="G12" i="18"/>
  <c r="O12" i="18"/>
  <c r="W12" i="18"/>
  <c r="AE12" i="18"/>
  <c r="AM12" i="18"/>
  <c r="AU12" i="18"/>
  <c r="CC12" i="18"/>
  <c r="AH12" i="18"/>
  <c r="BK12" i="18"/>
  <c r="BS12" i="18"/>
  <c r="CA12" i="18"/>
  <c r="H12" i="18"/>
  <c r="P12" i="18"/>
  <c r="X12" i="18"/>
  <c r="AF12" i="18"/>
  <c r="AN12" i="18"/>
  <c r="AV12" i="18"/>
  <c r="BD12" i="18"/>
  <c r="BL12" i="18"/>
  <c r="BT12" i="18"/>
  <c r="I12" i="18"/>
  <c r="Q12" i="18"/>
  <c r="Y12" i="18"/>
  <c r="AG12" i="18"/>
  <c r="AO12" i="18"/>
  <c r="AW12" i="18"/>
  <c r="BE12" i="18"/>
  <c r="BM12" i="18"/>
  <c r="BU12" i="18"/>
  <c r="BC12" i="18"/>
  <c r="B12" i="18"/>
  <c r="B14" i="18" s="1"/>
  <c r="B15" i="18" s="1"/>
  <c r="C11" i="18" s="1"/>
  <c r="C13" i="18" s="1"/>
  <c r="BI12" i="18"/>
  <c r="J12" i="18"/>
  <c r="R12" i="18"/>
  <c r="Z12" i="18"/>
  <c r="BX12" i="18"/>
  <c r="AP12" i="18"/>
  <c r="AX12" i="18"/>
  <c r="BF12" i="18"/>
  <c r="BN12" i="18"/>
  <c r="BV12" i="18"/>
  <c r="CD12" i="18"/>
  <c r="C12" i="18"/>
  <c r="K12" i="18"/>
  <c r="S12" i="18"/>
  <c r="AA12" i="18"/>
  <c r="AI12" i="18"/>
  <c r="AQ12" i="18"/>
  <c r="AY12" i="18"/>
  <c r="BG12" i="18"/>
  <c r="BO12" i="18"/>
  <c r="BW12" i="18"/>
  <c r="CE12" i="18"/>
  <c r="D12" i="18"/>
  <c r="L12" i="18"/>
  <c r="T12" i="18"/>
  <c r="AB12" i="18"/>
  <c r="AJ12" i="18"/>
  <c r="AR12" i="18"/>
  <c r="AZ12" i="18"/>
  <c r="K9" i="8"/>
  <c r="L9" i="8" s="1"/>
  <c r="G9" i="8"/>
  <c r="H9" i="8" s="1"/>
  <c r="B191" i="4"/>
  <c r="B189" i="4"/>
  <c r="N57" i="2"/>
  <c r="BL26" i="18"/>
  <c r="P26" i="18"/>
  <c r="AO26" i="18"/>
  <c r="I26" i="18"/>
  <c r="BT26" i="18"/>
  <c r="AN26" i="18"/>
  <c r="H26" i="18"/>
  <c r="BM26" i="18"/>
  <c r="AG26" i="18"/>
  <c r="AH26" i="18"/>
  <c r="AF26" i="18"/>
  <c r="BE26" i="18"/>
  <c r="Y26" i="18"/>
  <c r="BU26" i="18"/>
  <c r="X26" i="18"/>
  <c r="AW26" i="18"/>
  <c r="Q26" i="18"/>
  <c r="AP26" i="18"/>
  <c r="AX26" i="18"/>
  <c r="CA26" i="18"/>
  <c r="BS26" i="18"/>
  <c r="BK26" i="18"/>
  <c r="BC26" i="18"/>
  <c r="AU26" i="18"/>
  <c r="AM26" i="18"/>
  <c r="AE26" i="18"/>
  <c r="W26" i="18"/>
  <c r="O26" i="18"/>
  <c r="G26" i="18"/>
  <c r="BZ26" i="18"/>
  <c r="BR26" i="18"/>
  <c r="BJ26" i="18"/>
  <c r="BB26" i="18"/>
  <c r="AT26" i="18"/>
  <c r="AL26" i="18"/>
  <c r="AD26" i="18"/>
  <c r="V26" i="18"/>
  <c r="N26" i="18"/>
  <c r="F26" i="18"/>
  <c r="CG26" i="18"/>
  <c r="BY26" i="18"/>
  <c r="BQ26" i="18"/>
  <c r="BI26" i="18"/>
  <c r="BA26" i="18"/>
  <c r="AS26" i="18"/>
  <c r="AK26" i="18"/>
  <c r="AC26" i="18"/>
  <c r="U26" i="18"/>
  <c r="M26" i="18"/>
  <c r="E26" i="18"/>
  <c r="CF26" i="18"/>
  <c r="BX26" i="18"/>
  <c r="BP26" i="18"/>
  <c r="BH26" i="18"/>
  <c r="AZ26" i="18"/>
  <c r="AR26" i="18"/>
  <c r="AJ26" i="18"/>
  <c r="AB26" i="18"/>
  <c r="T26" i="18"/>
  <c r="L26" i="18"/>
  <c r="D26" i="18"/>
  <c r="CE26" i="18"/>
  <c r="BW26" i="18"/>
  <c r="BO26" i="18"/>
  <c r="BG26" i="18"/>
  <c r="AY26" i="18"/>
  <c r="AQ26" i="18"/>
  <c r="AI26" i="18"/>
  <c r="AA26" i="18"/>
  <c r="S26" i="18"/>
  <c r="K26" i="18"/>
  <c r="C26" i="18"/>
  <c r="CD26" i="18"/>
  <c r="BV26" i="18"/>
  <c r="BN26" i="18"/>
  <c r="BF26" i="18"/>
  <c r="Z26" i="18"/>
  <c r="R26" i="18"/>
  <c r="CC26" i="18"/>
  <c r="J26" i="18"/>
  <c r="B26" i="18"/>
  <c r="B28" i="18" s="1"/>
  <c r="B29" i="18" s="1"/>
  <c r="C25" i="18" s="1"/>
  <c r="C27" i="18" s="1"/>
  <c r="CB26" i="18"/>
  <c r="AV26" i="18"/>
  <c r="BD26" i="18"/>
  <c r="CF57" i="2"/>
  <c r="CQ57" i="2" s="1"/>
  <c r="CQ83" i="2"/>
  <c r="BS57" i="2"/>
  <c r="CD57" i="2" s="1"/>
  <c r="CD83" i="2"/>
  <c r="M88" i="2"/>
  <c r="K84" i="2"/>
  <c r="B13" i="12"/>
  <c r="B14" i="12" s="1"/>
  <c r="B16" i="12" s="1"/>
  <c r="B18" i="12" s="1"/>
  <c r="B19" i="12" s="1"/>
  <c r="B21" i="12" s="1"/>
  <c r="B23" i="12" s="1"/>
  <c r="B25" i="12" s="1"/>
  <c r="K14" i="8"/>
  <c r="L14" i="8" s="1"/>
  <c r="M14" i="8" s="1"/>
  <c r="N14" i="8" s="1"/>
  <c r="G14" i="8"/>
  <c r="H14" i="8" s="1"/>
  <c r="G12" i="8"/>
  <c r="H12" i="8" s="1"/>
  <c r="K12" i="8"/>
  <c r="L12" i="8" s="1"/>
  <c r="M12" i="8" s="1"/>
  <c r="N12" i="8" s="1"/>
  <c r="K10" i="8"/>
  <c r="G10" i="8"/>
  <c r="H10" i="8" s="1"/>
  <c r="E10" i="14"/>
  <c r="G9" i="14"/>
  <c r="H9" i="14" s="1"/>
  <c r="I9" i="14" s="1"/>
  <c r="B89" i="4"/>
  <c r="B87" i="4"/>
  <c r="G11" i="8"/>
  <c r="H11" i="8" s="1"/>
  <c r="K11" i="8"/>
  <c r="L11" i="8" s="1"/>
  <c r="M11" i="8" s="1"/>
  <c r="N11" i="8" s="1"/>
  <c r="N26" i="17"/>
  <c r="M54" i="2" s="1"/>
  <c r="K8" i="8"/>
  <c r="G8" i="8"/>
  <c r="H8" i="8" s="1"/>
  <c r="J24" i="2"/>
  <c r="J57" i="2"/>
  <c r="D15" i="8"/>
  <c r="E15" i="8" s="1"/>
  <c r="F15" i="8" s="1"/>
  <c r="K15" i="8" s="1"/>
  <c r="L15" i="8" s="1"/>
  <c r="M15" i="8" s="1"/>
  <c r="N15" i="8" s="1"/>
  <c r="C18" i="8"/>
  <c r="U73" i="4"/>
  <c r="V69" i="4" s="1"/>
  <c r="U71" i="4"/>
  <c r="G16" i="8"/>
  <c r="H16" i="8" s="1"/>
  <c r="K16" i="8"/>
  <c r="L16" i="8" s="1"/>
  <c r="M16" i="8" s="1"/>
  <c r="N16" i="8" s="1"/>
  <c r="Y18" i="2"/>
  <c r="Y23" i="17"/>
  <c r="BG30" i="2"/>
  <c r="BH30" i="2" s="1"/>
  <c r="BI30" i="2" s="1"/>
  <c r="BJ30" i="2" s="1"/>
  <c r="BK30" i="2" s="1"/>
  <c r="BL30" i="2" s="1"/>
  <c r="T233" i="4"/>
  <c r="S233" i="4"/>
  <c r="Q218" i="4"/>
  <c r="X218" i="4"/>
  <c r="R218" i="4"/>
  <c r="V218" i="4"/>
  <c r="N218" i="4"/>
  <c r="M233" i="4"/>
  <c r="Y218" i="4"/>
  <c r="T218" i="4"/>
  <c r="O218" i="4"/>
  <c r="M218" i="4"/>
  <c r="M220" i="4" s="1"/>
  <c r="M221" i="4" s="1"/>
  <c r="N217" i="4" s="1"/>
  <c r="N219" i="4" s="1"/>
  <c r="U218" i="4"/>
  <c r="W218" i="4"/>
  <c r="S218" i="4"/>
  <c r="P218" i="4"/>
  <c r="P236" i="4"/>
  <c r="Q232" i="4" s="1"/>
  <c r="P234" i="4"/>
  <c r="S89" i="2"/>
  <c r="B18" i="13"/>
  <c r="B19" i="13" s="1"/>
  <c r="B21" i="13" s="1"/>
  <c r="B23" i="13" s="1"/>
  <c r="B25" i="13" s="1"/>
  <c r="N233" i="4"/>
  <c r="P233" i="4"/>
  <c r="X233" i="4"/>
  <c r="V233" i="4"/>
  <c r="Y233" i="4"/>
  <c r="U233" i="4"/>
  <c r="R233" i="4"/>
  <c r="W233" i="4"/>
  <c r="Q233" i="4"/>
  <c r="O233" i="4"/>
  <c r="C161" i="4"/>
  <c r="D157" i="4" s="1"/>
  <c r="C159" i="4"/>
  <c r="W59" i="4"/>
  <c r="X55" i="4" s="1"/>
  <c r="W57" i="4"/>
  <c r="F206" i="4"/>
  <c r="G202" i="4" s="1"/>
  <c r="F204" i="4"/>
  <c r="E27" i="5"/>
  <c r="C29" i="5"/>
  <c r="E29" i="5" s="1"/>
  <c r="R304" i="4"/>
  <c r="CI16" i="16"/>
  <c r="CJ16" i="16" s="1"/>
  <c r="CK16" i="16" s="1"/>
  <c r="CL16" i="16" s="1"/>
  <c r="CM16" i="16" s="1"/>
  <c r="CN16" i="16" s="1"/>
  <c r="CO16" i="16" s="1"/>
  <c r="CP16" i="16" s="1"/>
  <c r="CQ16" i="16" s="1"/>
  <c r="CR16" i="16"/>
  <c r="V14" i="16"/>
  <c r="W14" i="16" s="1"/>
  <c r="X14" i="16" s="1"/>
  <c r="Y14" i="16" s="1"/>
  <c r="Z14" i="16" s="1"/>
  <c r="AA14" i="16" s="1"/>
  <c r="AB14" i="16" s="1"/>
  <c r="AC14" i="16" s="1"/>
  <c r="AD14" i="16" s="1"/>
  <c r="AE14" i="16"/>
  <c r="D14" i="16"/>
  <c r="V16" i="16"/>
  <c r="W16" i="16" s="1"/>
  <c r="X16" i="16" s="1"/>
  <c r="Y16" i="16" s="1"/>
  <c r="Z16" i="16" s="1"/>
  <c r="AA16" i="16" s="1"/>
  <c r="AB16" i="16" s="1"/>
  <c r="AC16" i="16" s="1"/>
  <c r="AD16" i="16" s="1"/>
  <c r="AE16" i="16"/>
  <c r="AN8" i="16"/>
  <c r="AO8" i="16" s="1"/>
  <c r="AP8" i="16" s="1"/>
  <c r="AQ8" i="16" s="1"/>
  <c r="AS8" i="16" s="1"/>
  <c r="AR8" i="16"/>
  <c r="U13" i="16"/>
  <c r="T11" i="16"/>
  <c r="G19" i="16"/>
  <c r="H10" i="16"/>
  <c r="H19" i="16" s="1"/>
  <c r="E53" i="2"/>
  <c r="E51" i="2" s="1"/>
  <c r="E106" i="2" s="1"/>
  <c r="AT8" i="16"/>
  <c r="U7" i="16"/>
  <c r="U6" i="16"/>
  <c r="I5" i="16"/>
  <c r="AK4" i="16"/>
  <c r="K4" i="16"/>
  <c r="CK18" i="16"/>
  <c r="CL18" i="16" s="1"/>
  <c r="CM18" i="16" s="1"/>
  <c r="CN18" i="16" s="1"/>
  <c r="CO18" i="16" s="1"/>
  <c r="CP18" i="16" s="1"/>
  <c r="CQ18" i="16" s="1"/>
  <c r="CR18" i="16"/>
  <c r="BD18" i="16"/>
  <c r="BE18" i="16"/>
  <c r="V18" i="16"/>
  <c r="W18" i="16" s="1"/>
  <c r="X18" i="16" s="1"/>
  <c r="Y18" i="16" s="1"/>
  <c r="Z18" i="16" s="1"/>
  <c r="AA18" i="16" s="1"/>
  <c r="AB18" i="16" s="1"/>
  <c r="AC18" i="16" s="1"/>
  <c r="AD18" i="16" s="1"/>
  <c r="AE18" i="16"/>
  <c r="D18" i="16" s="1"/>
  <c r="AY16" i="16"/>
  <c r="AZ16" i="16" s="1"/>
  <c r="BA16" i="16" s="1"/>
  <c r="BB16" i="16" s="1"/>
  <c r="BC16" i="16" s="1"/>
  <c r="BD16" i="16" s="1"/>
  <c r="BE16" i="16" s="1"/>
  <c r="I16" i="16"/>
  <c r="J16" i="16" s="1"/>
  <c r="K16" i="16" s="1"/>
  <c r="L16" i="16" s="1"/>
  <c r="M16" i="16" s="1"/>
  <c r="U12" i="16"/>
  <c r="V12" i="16" s="1"/>
  <c r="W12" i="16" s="1"/>
  <c r="I9" i="16"/>
  <c r="J9" i="16" s="1"/>
  <c r="K9" i="16" s="1"/>
  <c r="L9" i="16" s="1"/>
  <c r="M9" i="16" s="1"/>
  <c r="N9" i="16" s="1"/>
  <c r="O9" i="16" s="1"/>
  <c r="P9" i="16" s="1"/>
  <c r="Q9" i="16" s="1"/>
  <c r="I8" i="16"/>
  <c r="AU6" i="16"/>
  <c r="AV6" i="16" s="1"/>
  <c r="AW6" i="16" s="1"/>
  <c r="AX6" i="16" s="1"/>
  <c r="AY6" i="16" s="1"/>
  <c r="AZ6" i="16" s="1"/>
  <c r="BA6" i="16" s="1"/>
  <c r="AU5" i="16"/>
  <c r="L84" i="2"/>
  <c r="N88" i="2"/>
  <c r="R87" i="2"/>
  <c r="Q85" i="2"/>
  <c r="C85" i="2" s="1"/>
  <c r="Y96" i="2"/>
  <c r="Z97" i="2" s="1"/>
  <c r="T304" i="4"/>
  <c r="V276" i="4"/>
  <c r="S276" i="4"/>
  <c r="O304" i="4"/>
  <c r="Q304" i="4"/>
  <c r="X276" i="4"/>
  <c r="O276" i="4"/>
  <c r="W290" i="4"/>
  <c r="V304" i="4"/>
  <c r="S304" i="4"/>
  <c r="U276" i="4"/>
  <c r="P276" i="4"/>
  <c r="B321" i="4"/>
  <c r="C317" i="4" s="1"/>
  <c r="C321" i="4" s="1"/>
  <c r="D317" i="4" s="1"/>
  <c r="D321" i="4" s="1"/>
  <c r="E317" i="4" s="1"/>
  <c r="R276" i="4"/>
  <c r="M276" i="4"/>
  <c r="Y276" i="4"/>
  <c r="N276" i="4"/>
  <c r="W276" i="4"/>
  <c r="Q276" i="4"/>
  <c r="T276" i="4"/>
  <c r="P290" i="4"/>
  <c r="Y304" i="4"/>
  <c r="U304" i="4"/>
  <c r="P304" i="4"/>
  <c r="X304" i="4"/>
  <c r="W304" i="4"/>
  <c r="M304" i="4"/>
  <c r="U290" i="4"/>
  <c r="B263" i="4"/>
  <c r="X114" i="2" s="1"/>
  <c r="B265" i="4"/>
  <c r="C261" i="4" s="1"/>
  <c r="N304" i="4"/>
  <c r="M290" i="4"/>
  <c r="V290" i="4"/>
  <c r="S290" i="4"/>
  <c r="N290" i="4"/>
  <c r="O290" i="4"/>
  <c r="Y290" i="4"/>
  <c r="T290" i="4"/>
  <c r="R290" i="4"/>
  <c r="Z144" i="4"/>
  <c r="Q290" i="4"/>
  <c r="C307" i="4"/>
  <c r="D303" i="4" s="1"/>
  <c r="C305" i="4"/>
  <c r="X290" i="4"/>
  <c r="C291" i="4"/>
  <c r="C293" i="4"/>
  <c r="D289" i="4" s="1"/>
  <c r="D335" i="4"/>
  <c r="E331" i="4" s="1"/>
  <c r="D333" i="4"/>
  <c r="D277" i="4"/>
  <c r="D279" i="4"/>
  <c r="E275" i="4" s="1"/>
  <c r="D349" i="4"/>
  <c r="E345" i="4" s="1"/>
  <c r="D347" i="4"/>
  <c r="Z116" i="4"/>
  <c r="Z102" i="4"/>
  <c r="Z28" i="4"/>
  <c r="Z174" i="4"/>
  <c r="Q88" i="2" l="1"/>
  <c r="AI102" i="2"/>
  <c r="AE39" i="2"/>
  <c r="AF39" i="2"/>
  <c r="AG39" i="2" s="1"/>
  <c r="AH39" i="2" s="1"/>
  <c r="AI39" i="2" s="1"/>
  <c r="AJ39" i="2" s="1"/>
  <c r="AK39" i="2" s="1"/>
  <c r="AL39" i="2" s="1"/>
  <c r="AM39" i="2" s="1"/>
  <c r="AN39" i="2" s="1"/>
  <c r="AI43" i="2"/>
  <c r="AJ43" i="2" s="1"/>
  <c r="AK43" i="2" s="1"/>
  <c r="AL43" i="2" s="1"/>
  <c r="AM43" i="2" s="1"/>
  <c r="AN43" i="2" s="1"/>
  <c r="AO43" i="2" s="1"/>
  <c r="AP43" i="2" s="1"/>
  <c r="AR43" i="2" s="1"/>
  <c r="AS43" i="2" s="1"/>
  <c r="AT43" i="2" s="1"/>
  <c r="AU43" i="2" s="1"/>
  <c r="AV43" i="2" s="1"/>
  <c r="AW43" i="2" s="1"/>
  <c r="AX43" i="2" s="1"/>
  <c r="AY43" i="2" s="1"/>
  <c r="AZ43" i="2" s="1"/>
  <c r="BA43" i="2" s="1"/>
  <c r="BB43" i="2" s="1"/>
  <c r="BC43" i="2" s="1"/>
  <c r="AG41" i="2"/>
  <c r="AC37" i="2"/>
  <c r="AE37" i="2" s="1"/>
  <c r="AG37" i="2" s="1"/>
  <c r="AH37" i="2" s="1"/>
  <c r="AI37" i="2" s="1"/>
  <c r="AJ37" i="2" s="1"/>
  <c r="AK37" i="2" s="1"/>
  <c r="AL37" i="2" s="1"/>
  <c r="AM37" i="2" s="1"/>
  <c r="AN37" i="2" s="1"/>
  <c r="AH43" i="2"/>
  <c r="AF41" i="2"/>
  <c r="AB37" i="2"/>
  <c r="Y33" i="2"/>
  <c r="Z33" i="2"/>
  <c r="AA33" i="2"/>
  <c r="AB33" i="2"/>
  <c r="AF99" i="2"/>
  <c r="AG100" i="2" s="1"/>
  <c r="AH101" i="2" s="1"/>
  <c r="AF103" i="2"/>
  <c r="AG104" i="2" s="1"/>
  <c r="C79" i="2"/>
  <c r="V16" i="2"/>
  <c r="U23" i="2"/>
  <c r="AD87" i="2"/>
  <c r="AA98" i="2"/>
  <c r="AA99" i="2"/>
  <c r="C15" i="4"/>
  <c r="D11" i="4" s="1"/>
  <c r="C13" i="4"/>
  <c r="C73" i="2"/>
  <c r="G15" i="8"/>
  <c r="H15" i="8" s="1"/>
  <c r="N220" i="4"/>
  <c r="N221" i="4" s="1"/>
  <c r="O217" i="4" s="1"/>
  <c r="O219" i="4" s="1"/>
  <c r="O220" i="4" s="1"/>
  <c r="O221" i="4" s="1"/>
  <c r="P217" i="4" s="1"/>
  <c r="K16" i="7"/>
  <c r="J29" i="7"/>
  <c r="J36" i="7"/>
  <c r="J38" i="7"/>
  <c r="J26" i="7"/>
  <c r="J21" i="7"/>
  <c r="J39" i="7"/>
  <c r="J31" i="7"/>
  <c r="J32" i="7"/>
  <c r="J28" i="7"/>
  <c r="J27" i="7"/>
  <c r="J35" i="7"/>
  <c r="J25" i="7"/>
  <c r="J22" i="7"/>
  <c r="J30" i="7"/>
  <c r="J24" i="7"/>
  <c r="J23" i="7"/>
  <c r="J33" i="7"/>
  <c r="J37" i="7"/>
  <c r="J34" i="7"/>
  <c r="AA42" i="4"/>
  <c r="AA44" i="4" s="1"/>
  <c r="AH120" i="2" s="1"/>
  <c r="AO129" i="4"/>
  <c r="AP129" i="4" s="1"/>
  <c r="B13" i="11"/>
  <c r="B14" i="11" s="1"/>
  <c r="B16" i="11" s="1"/>
  <c r="H182" i="2"/>
  <c r="B18" i="10"/>
  <c r="B19" i="10" s="1"/>
  <c r="B21" i="10" s="1"/>
  <c r="B23" i="10" s="1"/>
  <c r="B25" i="10" s="1"/>
  <c r="AU57" i="2"/>
  <c r="AU46" i="2"/>
  <c r="BD81" i="2"/>
  <c r="C81" i="2" s="1"/>
  <c r="B13" i="9"/>
  <c r="B14" i="9" s="1"/>
  <c r="B16" i="9" s="1"/>
  <c r="AA129" i="4"/>
  <c r="AA131" i="4" s="1"/>
  <c r="AQ74" i="2"/>
  <c r="C74" i="2" s="1"/>
  <c r="G10" i="14"/>
  <c r="H10" i="14" s="1"/>
  <c r="I10" i="14" s="1"/>
  <c r="E11" i="14"/>
  <c r="AG163" i="2"/>
  <c r="AH119" i="2"/>
  <c r="AJ103" i="2"/>
  <c r="BE104" i="2" s="1"/>
  <c r="AZ84" i="2"/>
  <c r="AP57" i="2"/>
  <c r="AN57" i="2"/>
  <c r="AM57" i="2"/>
  <c r="AH57" i="2"/>
  <c r="AA57" i="2"/>
  <c r="C56" i="18"/>
  <c r="C57" i="18" s="1"/>
  <c r="D53" i="18" s="1"/>
  <c r="D55" i="18" s="1"/>
  <c r="D56" i="18" s="1"/>
  <c r="D57" i="18" s="1"/>
  <c r="E53" i="18" s="1"/>
  <c r="H183" i="2"/>
  <c r="AT57" i="2"/>
  <c r="C28" i="18"/>
  <c r="C29" i="18" s="1"/>
  <c r="D25" i="18" s="1"/>
  <c r="D27" i="18" s="1"/>
  <c r="D28" i="18" s="1"/>
  <c r="D29" i="18" s="1"/>
  <c r="E25" i="18" s="1"/>
  <c r="AZ46" i="2"/>
  <c r="BD82" i="2"/>
  <c r="C82" i="2" s="1"/>
  <c r="AW46" i="2"/>
  <c r="AW57" i="2"/>
  <c r="AX46" i="2"/>
  <c r="AX57" i="2"/>
  <c r="AJ57" i="2"/>
  <c r="AC57" i="2"/>
  <c r="AE72" i="2"/>
  <c r="AE46" i="2" s="1"/>
  <c r="Y57" i="2"/>
  <c r="T57" i="2"/>
  <c r="P57" i="2"/>
  <c r="U88" i="2"/>
  <c r="AQ78" i="2"/>
  <c r="AO57" i="2"/>
  <c r="AB57" i="2"/>
  <c r="C249" i="4"/>
  <c r="C251" i="4"/>
  <c r="D247" i="4" s="1"/>
  <c r="C42" i="18"/>
  <c r="C43" i="18" s="1"/>
  <c r="D39" i="18" s="1"/>
  <c r="D41" i="18" s="1"/>
  <c r="D42" i="18" s="1"/>
  <c r="D43" i="18" s="1"/>
  <c r="E39" i="18" s="1"/>
  <c r="E41" i="18" s="1"/>
  <c r="E42" i="18" s="1"/>
  <c r="E43" i="18" s="1"/>
  <c r="F39" i="18" s="1"/>
  <c r="C14" i="18"/>
  <c r="C15" i="18" s="1"/>
  <c r="D11" i="18" s="1"/>
  <c r="D13" i="18" s="1"/>
  <c r="D14" i="18" s="1"/>
  <c r="D15" i="18" s="1"/>
  <c r="E11" i="18" s="1"/>
  <c r="C187" i="4"/>
  <c r="N89" i="2"/>
  <c r="M84" i="2"/>
  <c r="L10" i="8"/>
  <c r="M10" i="8" s="1"/>
  <c r="N10" i="8" s="1"/>
  <c r="C85" i="4"/>
  <c r="O26" i="17"/>
  <c r="N54" i="2" s="1"/>
  <c r="L8" i="8"/>
  <c r="K18" i="8"/>
  <c r="K19" i="8" s="1"/>
  <c r="C30" i="6"/>
  <c r="Q64" i="2"/>
  <c r="Q46" i="2" s="1"/>
  <c r="K57" i="2"/>
  <c r="V71" i="4"/>
  <c r="V73" i="4"/>
  <c r="W69" i="4" s="1"/>
  <c r="BM30" i="2"/>
  <c r="BN30" i="2" s="1"/>
  <c r="BO30" i="2" s="1"/>
  <c r="T90" i="2"/>
  <c r="Z18" i="2"/>
  <c r="Z23" i="17"/>
  <c r="Q234" i="4"/>
  <c r="Q236" i="4"/>
  <c r="R232" i="4" s="1"/>
  <c r="D161" i="4"/>
  <c r="E157" i="4" s="1"/>
  <c r="D159" i="4"/>
  <c r="U27" i="2"/>
  <c r="V27" i="2" s="1"/>
  <c r="O27" i="2"/>
  <c r="R24" i="17"/>
  <c r="S28" i="2"/>
  <c r="AI35" i="2"/>
  <c r="AB29" i="2"/>
  <c r="T29" i="2"/>
  <c r="U29" i="2"/>
  <c r="AC29" i="2"/>
  <c r="AE29" i="2" s="1"/>
  <c r="V31" i="2"/>
  <c r="AJ35" i="2"/>
  <c r="V29" i="2"/>
  <c r="Y31" i="2"/>
  <c r="AK35" i="2"/>
  <c r="AO39" i="2"/>
  <c r="W29" i="2"/>
  <c r="Z31" i="2"/>
  <c r="AL35" i="2"/>
  <c r="AB31" i="2"/>
  <c r="AC31" i="2"/>
  <c r="AE31" i="2" s="1"/>
  <c r="X33" i="2"/>
  <c r="AP39" i="2"/>
  <c r="AR39" i="2" s="1"/>
  <c r="X29" i="2"/>
  <c r="AA31" i="2"/>
  <c r="AC33" i="2"/>
  <c r="AE33" i="2" s="1"/>
  <c r="AM35" i="2"/>
  <c r="AO37" i="2"/>
  <c r="BE43" i="2"/>
  <c r="Y29" i="2"/>
  <c r="AN35" i="2"/>
  <c r="AP37" i="2"/>
  <c r="AR37" i="2" s="1"/>
  <c r="AT41" i="2"/>
  <c r="Z29" i="2"/>
  <c r="Z35" i="2"/>
  <c r="AO35" i="2"/>
  <c r="BC41" i="2"/>
  <c r="BE41" i="2" s="1"/>
  <c r="AA29" i="2"/>
  <c r="AH35" i="2"/>
  <c r="AP35" i="2"/>
  <c r="AR35" i="2" s="1"/>
  <c r="X57" i="4"/>
  <c r="X59" i="4"/>
  <c r="Y55" i="4" s="1"/>
  <c r="M9" i="8"/>
  <c r="G204" i="4"/>
  <c r="G206" i="4"/>
  <c r="H202" i="4" s="1"/>
  <c r="N16" i="16"/>
  <c r="O16" i="16" s="1"/>
  <c r="P16" i="16" s="1"/>
  <c r="Q16" i="16" s="1"/>
  <c r="R16" i="16"/>
  <c r="D16" i="16" s="1"/>
  <c r="X12" i="16"/>
  <c r="Y12" i="16" s="1"/>
  <c r="Z12" i="16" s="1"/>
  <c r="AA12" i="16" s="1"/>
  <c r="AB12" i="16" s="1"/>
  <c r="AC12" i="16" s="1"/>
  <c r="AD12" i="16" s="1"/>
  <c r="AF12" i="16" s="1"/>
  <c r="AE12" i="16"/>
  <c r="S9" i="16"/>
  <c r="R9" i="16"/>
  <c r="J8" i="16"/>
  <c r="K8" i="16" s="1"/>
  <c r="L8" i="16" s="1"/>
  <c r="M8" i="16" s="1"/>
  <c r="N8" i="16" s="1"/>
  <c r="O8" i="16" s="1"/>
  <c r="P8" i="16" s="1"/>
  <c r="Q8" i="16" s="1"/>
  <c r="S8" i="16" s="1"/>
  <c r="R8" i="16"/>
  <c r="BB6" i="16"/>
  <c r="BC6" i="16" s="1"/>
  <c r="BD6" i="16" s="1"/>
  <c r="BF6" i="16" s="1"/>
  <c r="BE6" i="16"/>
  <c r="AV5" i="16"/>
  <c r="AW5" i="16" s="1"/>
  <c r="AX5" i="16" s="1"/>
  <c r="AY5" i="16" s="1"/>
  <c r="AZ5" i="16" s="1"/>
  <c r="BA5" i="16" s="1"/>
  <c r="BB5" i="16" s="1"/>
  <c r="BC5" i="16" s="1"/>
  <c r="BD5" i="16" s="1"/>
  <c r="BF5" i="16" s="1"/>
  <c r="BE5" i="16"/>
  <c r="V13" i="16"/>
  <c r="U11" i="16"/>
  <c r="F53" i="2"/>
  <c r="F51" i="2" s="1"/>
  <c r="F106" i="2" s="1"/>
  <c r="I10" i="16"/>
  <c r="V7" i="16"/>
  <c r="V6" i="16"/>
  <c r="G53" i="2"/>
  <c r="G51" i="2" s="1"/>
  <c r="G106" i="2" s="1"/>
  <c r="J5" i="16"/>
  <c r="AL4" i="16"/>
  <c r="L4" i="16"/>
  <c r="AG12" i="16"/>
  <c r="T9" i="16"/>
  <c r="T8" i="16"/>
  <c r="BG6" i="16"/>
  <c r="BH6" i="16" s="1"/>
  <c r="BG5" i="16"/>
  <c r="BH5" i="16" s="1"/>
  <c r="BI5" i="16" s="1"/>
  <c r="BJ5" i="16" s="1"/>
  <c r="BK5" i="16" s="1"/>
  <c r="BL5" i="16" s="1"/>
  <c r="BM5" i="16" s="1"/>
  <c r="BN5" i="16" s="1"/>
  <c r="BO5" i="16" s="1"/>
  <c r="BP5" i="16" s="1"/>
  <c r="AU8" i="16"/>
  <c r="AV8" i="16" s="1"/>
  <c r="AW8" i="16" s="1"/>
  <c r="AX8" i="16" s="1"/>
  <c r="AY8" i="16" s="1"/>
  <c r="AZ8" i="16" s="1"/>
  <c r="BA8" i="16" s="1"/>
  <c r="BB8" i="16" s="1"/>
  <c r="BC8" i="16" s="1"/>
  <c r="BD8" i="16" s="1"/>
  <c r="BF8" i="16" s="1"/>
  <c r="BE8" i="16"/>
  <c r="O89" i="2"/>
  <c r="S88" i="2"/>
  <c r="AD88" i="2" s="1"/>
  <c r="C319" i="4"/>
  <c r="D319" i="4"/>
  <c r="D305" i="4"/>
  <c r="D307" i="4"/>
  <c r="E303" i="4" s="1"/>
  <c r="C263" i="4"/>
  <c r="Y114" i="2" s="1"/>
  <c r="C265" i="4"/>
  <c r="D261" i="4" s="1"/>
  <c r="D291" i="4"/>
  <c r="D293" i="4"/>
  <c r="E289" i="4" s="1"/>
  <c r="E333" i="4"/>
  <c r="E335" i="4"/>
  <c r="F331" i="4" s="1"/>
  <c r="E277" i="4"/>
  <c r="E279" i="4"/>
  <c r="F275" i="4" s="1"/>
  <c r="E319" i="4"/>
  <c r="E321" i="4"/>
  <c r="F317" i="4" s="1"/>
  <c r="E347" i="4"/>
  <c r="E349" i="4"/>
  <c r="F345" i="4" s="1"/>
  <c r="AD37" i="2" l="1"/>
  <c r="AF37" i="2" s="1"/>
  <c r="AQ43" i="2"/>
  <c r="AD33" i="2"/>
  <c r="AH41" i="2"/>
  <c r="AI41" i="2"/>
  <c r="AJ41" i="2" s="1"/>
  <c r="AK41" i="2" s="1"/>
  <c r="AL41" i="2" s="1"/>
  <c r="AM41" i="2" s="1"/>
  <c r="AN41" i="2" s="1"/>
  <c r="AO41" i="2" s="1"/>
  <c r="AP41" i="2" s="1"/>
  <c r="AR41" i="2" s="1"/>
  <c r="AS41" i="2" s="1"/>
  <c r="AD29" i="2"/>
  <c r="AA35" i="2"/>
  <c r="AB35" i="2" s="1"/>
  <c r="AC35" i="2" s="1"/>
  <c r="AE35" i="2" s="1"/>
  <c r="AG35" i="2" s="1"/>
  <c r="W31" i="2"/>
  <c r="X31" i="2" s="1"/>
  <c r="T28" i="2"/>
  <c r="Q89" i="2"/>
  <c r="N84" i="2"/>
  <c r="W16" i="2"/>
  <c r="V23" i="2"/>
  <c r="B23" i="8"/>
  <c r="C8" i="2" s="1"/>
  <c r="AB99" i="2"/>
  <c r="AC100" i="2" s="1"/>
  <c r="AE101" i="2" s="1"/>
  <c r="AB100" i="2"/>
  <c r="AC101" i="2" s="1"/>
  <c r="AD104" i="2"/>
  <c r="K29" i="7"/>
  <c r="K37" i="7"/>
  <c r="K26" i="7"/>
  <c r="K30" i="7"/>
  <c r="K36" i="7"/>
  <c r="K21" i="7"/>
  <c r="K27" i="7"/>
  <c r="K31" i="7"/>
  <c r="K28" i="7"/>
  <c r="K32" i="7"/>
  <c r="K33" i="7"/>
  <c r="K34" i="7"/>
  <c r="K35" i="7"/>
  <c r="K22" i="7"/>
  <c r="K38" i="7"/>
  <c r="K23" i="7"/>
  <c r="K39" i="7"/>
  <c r="K24" i="7"/>
  <c r="K20" i="7"/>
  <c r="N15" i="7" s="1"/>
  <c r="O16" i="7" s="1"/>
  <c r="K25" i="7"/>
  <c r="D15" i="4"/>
  <c r="E11" i="4" s="1"/>
  <c r="D13" i="4"/>
  <c r="BD80" i="2"/>
  <c r="C80" i="2" s="1"/>
  <c r="B18" i="11"/>
  <c r="B19" i="11" s="1"/>
  <c r="B21" i="11" s="1"/>
  <c r="B23" i="11" s="1"/>
  <c r="B25" i="11" s="1"/>
  <c r="M26" i="2"/>
  <c r="U26" i="2"/>
  <c r="V26" i="2" s="1"/>
  <c r="N26" i="2"/>
  <c r="O26" i="2"/>
  <c r="P26" i="2" s="1"/>
  <c r="R26" i="2" s="1"/>
  <c r="I183" i="2"/>
  <c r="I182" i="2"/>
  <c r="BE84" i="2"/>
  <c r="AV57" i="2"/>
  <c r="AV46" i="2"/>
  <c r="AI57" i="2"/>
  <c r="AA132" i="4"/>
  <c r="AB128" i="4" s="1"/>
  <c r="AB130" i="4" s="1"/>
  <c r="AO131" i="2" s="1"/>
  <c r="AN132" i="2"/>
  <c r="G11" i="14"/>
  <c r="H11" i="14" s="1"/>
  <c r="I11" i="14" s="1"/>
  <c r="B18" i="9"/>
  <c r="B19" i="9" s="1"/>
  <c r="B21" i="9" s="1"/>
  <c r="B23" i="9" s="1"/>
  <c r="B25" i="9" s="1"/>
  <c r="E12" i="14"/>
  <c r="AA45" i="4"/>
  <c r="AB41" i="4" s="1"/>
  <c r="AB43" i="4" s="1"/>
  <c r="AQ129" i="4"/>
  <c r="O90" i="2"/>
  <c r="E55" i="18"/>
  <c r="E56" i="18" s="1"/>
  <c r="E57" i="18" s="1"/>
  <c r="F53" i="18" s="1"/>
  <c r="AQ77" i="2"/>
  <c r="C77" i="2" s="1"/>
  <c r="C71" i="2"/>
  <c r="AZ57" i="2"/>
  <c r="V89" i="2"/>
  <c r="W90" i="2" s="1"/>
  <c r="X91" i="2" s="1"/>
  <c r="AY46" i="2"/>
  <c r="AY57" i="2"/>
  <c r="AQ75" i="2"/>
  <c r="C75" i="2" s="1"/>
  <c r="AK57" i="2"/>
  <c r="C72" i="2"/>
  <c r="AE57" i="2"/>
  <c r="C70" i="2"/>
  <c r="Z57" i="2"/>
  <c r="U57" i="2"/>
  <c r="R57" i="2"/>
  <c r="C66" i="2"/>
  <c r="BD78" i="2"/>
  <c r="C78" i="2" s="1"/>
  <c r="AR57" i="2"/>
  <c r="AR46" i="2"/>
  <c r="D249" i="4"/>
  <c r="D251" i="4"/>
  <c r="E247" i="4" s="1"/>
  <c r="C189" i="4"/>
  <c r="C191" i="4"/>
  <c r="D187" i="4" s="1"/>
  <c r="D29" i="17"/>
  <c r="C31" i="6"/>
  <c r="BP30" i="2"/>
  <c r="C89" i="4"/>
  <c r="D85" i="4" s="1"/>
  <c r="C87" i="4"/>
  <c r="P26" i="17"/>
  <c r="O54" i="2" s="1"/>
  <c r="M8" i="8"/>
  <c r="L18" i="8"/>
  <c r="E159" i="4"/>
  <c r="E161" i="4"/>
  <c r="W73" i="4"/>
  <c r="X69" i="4" s="1"/>
  <c r="W71" i="4"/>
  <c r="U91" i="2"/>
  <c r="C64" i="2"/>
  <c r="L57" i="2"/>
  <c r="Q57" i="2" s="1"/>
  <c r="AA18" i="2"/>
  <c r="AA23" i="17"/>
  <c r="R234" i="4"/>
  <c r="R236" i="4"/>
  <c r="S232" i="4" s="1"/>
  <c r="E13" i="18"/>
  <c r="E14" i="18" s="1"/>
  <c r="E15" i="18" s="1"/>
  <c r="F11" i="18" s="1"/>
  <c r="W27" i="2"/>
  <c r="X27" i="2"/>
  <c r="P27" i="2"/>
  <c r="Q27" i="2" s="1"/>
  <c r="AF29" i="2"/>
  <c r="AF31" i="2"/>
  <c r="AS39" i="2"/>
  <c r="AF33" i="2"/>
  <c r="BF43" i="2"/>
  <c r="BG43" i="2" s="1"/>
  <c r="BH43" i="2" s="1"/>
  <c r="BI43" i="2" s="1"/>
  <c r="BJ43" i="2" s="1"/>
  <c r="AS37" i="2"/>
  <c r="AU41" i="2"/>
  <c r="BF41" i="2"/>
  <c r="AS35" i="2"/>
  <c r="AT35" i="2" s="1"/>
  <c r="AU35" i="2" s="1"/>
  <c r="AV35" i="2" s="1"/>
  <c r="AW35" i="2" s="1"/>
  <c r="AX35" i="2" s="1"/>
  <c r="F41" i="18"/>
  <c r="F42" i="18" s="1"/>
  <c r="F43" i="18" s="1"/>
  <c r="G39" i="18" s="1"/>
  <c r="E27" i="18"/>
  <c r="E28" i="18" s="1"/>
  <c r="E29" i="18" s="1"/>
  <c r="F25" i="18" s="1"/>
  <c r="Y57" i="4"/>
  <c r="Z57" i="4" s="1"/>
  <c r="Y59" i="4"/>
  <c r="N23" i="7"/>
  <c r="O23" i="7" s="1"/>
  <c r="N33" i="7"/>
  <c r="O33" i="7" s="1"/>
  <c r="N30" i="7"/>
  <c r="O30" i="7" s="1"/>
  <c r="N21" i="7"/>
  <c r="O21" i="7" s="1"/>
  <c r="N24" i="7"/>
  <c r="O24" i="7" s="1"/>
  <c r="N32" i="7"/>
  <c r="O32" i="7" s="1"/>
  <c r="N39" i="7"/>
  <c r="O39" i="7" s="1"/>
  <c r="N9" i="8"/>
  <c r="N22" i="7"/>
  <c r="O22" i="7" s="1"/>
  <c r="N20" i="7"/>
  <c r="N26" i="7"/>
  <c r="O26" i="7" s="1"/>
  <c r="N34" i="7"/>
  <c r="O34" i="7" s="1"/>
  <c r="N29" i="7"/>
  <c r="O29" i="7" s="1"/>
  <c r="N27" i="7"/>
  <c r="O27" i="7" s="1"/>
  <c r="N36" i="7"/>
  <c r="O36" i="7" s="1"/>
  <c r="N37" i="7"/>
  <c r="O37" i="7" s="1"/>
  <c r="N25" i="7"/>
  <c r="O25" i="7" s="1"/>
  <c r="N35" i="7"/>
  <c r="O35" i="7" s="1"/>
  <c r="N31" i="7"/>
  <c r="O31" i="7" s="1"/>
  <c r="N28" i="7"/>
  <c r="O28" i="7" s="1"/>
  <c r="N38" i="7"/>
  <c r="O38" i="7" s="1"/>
  <c r="H204" i="4"/>
  <c r="H206" i="4"/>
  <c r="AQ37" i="2"/>
  <c r="AQ39" i="2"/>
  <c r="J10" i="16"/>
  <c r="K10" i="16" s="1"/>
  <c r="L10" i="16" s="1"/>
  <c r="M10" i="16" s="1"/>
  <c r="I19" i="16"/>
  <c r="W13" i="16"/>
  <c r="V11" i="16"/>
  <c r="W7" i="16"/>
  <c r="W6" i="16"/>
  <c r="H53" i="2"/>
  <c r="H51" i="2" s="1"/>
  <c r="J19" i="16"/>
  <c r="K5" i="16"/>
  <c r="AM4" i="16"/>
  <c r="M4" i="16"/>
  <c r="AH12" i="16"/>
  <c r="U9" i="16"/>
  <c r="U8" i="16"/>
  <c r="BH8" i="16"/>
  <c r="BG8" i="16"/>
  <c r="N10" i="16"/>
  <c r="O10" i="16" s="1"/>
  <c r="P10" i="16" s="1"/>
  <c r="Q10" i="16" s="1"/>
  <c r="S10" i="16" s="1"/>
  <c r="R10" i="16"/>
  <c r="BI6" i="16"/>
  <c r="BJ6" i="16" s="1"/>
  <c r="BK6" i="16" s="1"/>
  <c r="BL6" i="16" s="1"/>
  <c r="BM6" i="16" s="1"/>
  <c r="BN6" i="16" s="1"/>
  <c r="BO6" i="16" s="1"/>
  <c r="BP6" i="16" s="1"/>
  <c r="BQ6" i="16" s="1"/>
  <c r="BS6" i="16" s="1"/>
  <c r="BR6" i="16"/>
  <c r="BQ5" i="16"/>
  <c r="BS5" i="16" s="1"/>
  <c r="BR5" i="16"/>
  <c r="P90" i="2"/>
  <c r="T89" i="2"/>
  <c r="D263" i="4"/>
  <c r="Z114" i="2" s="1"/>
  <c r="D265" i="4"/>
  <c r="E261" i="4" s="1"/>
  <c r="E307" i="4"/>
  <c r="F303" i="4" s="1"/>
  <c r="E305" i="4"/>
  <c r="P219" i="4"/>
  <c r="P220" i="4" s="1"/>
  <c r="P221" i="4" s="1"/>
  <c r="Q217" i="4" s="1"/>
  <c r="F333" i="4"/>
  <c r="F335" i="4"/>
  <c r="G331" i="4" s="1"/>
  <c r="E293" i="4"/>
  <c r="F289" i="4" s="1"/>
  <c r="E291" i="4"/>
  <c r="F277" i="4"/>
  <c r="F279" i="4"/>
  <c r="G275" i="4" s="1"/>
  <c r="F321" i="4"/>
  <c r="G317" i="4" s="1"/>
  <c r="F319" i="4"/>
  <c r="F347" i="4"/>
  <c r="F349" i="4"/>
  <c r="G345" i="4" s="1"/>
  <c r="AD35" i="2" l="1"/>
  <c r="AF35" i="2" s="1"/>
  <c r="AQ41" i="2"/>
  <c r="AQ35" i="2"/>
  <c r="AA36" i="2"/>
  <c r="AJ45" i="2"/>
  <c r="AG42" i="2"/>
  <c r="AF40" i="2"/>
  <c r="AI44" i="2"/>
  <c r="AC38" i="2"/>
  <c r="AD89" i="2"/>
  <c r="AD31" i="2"/>
  <c r="AF102" i="2"/>
  <c r="Q90" i="2"/>
  <c r="O84" i="2"/>
  <c r="X16" i="2"/>
  <c r="X22" i="2" s="1"/>
  <c r="W23" i="2"/>
  <c r="V22" i="2"/>
  <c r="O22" i="2"/>
  <c r="W22" i="2"/>
  <c r="P22" i="2"/>
  <c r="L22" i="2"/>
  <c r="S22" i="2"/>
  <c r="U22" i="2"/>
  <c r="R22" i="2"/>
  <c r="T22" i="2"/>
  <c r="M22" i="2"/>
  <c r="N22" i="2"/>
  <c r="E15" i="4"/>
  <c r="F11" i="4" s="1"/>
  <c r="E13" i="4"/>
  <c r="X26" i="2"/>
  <c r="T26" i="2"/>
  <c r="Q26" i="2"/>
  <c r="W26" i="2"/>
  <c r="S26" i="2"/>
  <c r="W32" i="2"/>
  <c r="AA32" i="2"/>
  <c r="AB32" i="2"/>
  <c r="AR40" i="2"/>
  <c r="U30" i="2"/>
  <c r="AC32" i="2"/>
  <c r="AE32" i="2" s="1"/>
  <c r="AO36" i="2"/>
  <c r="AP36" i="2"/>
  <c r="AR36" i="2" s="1"/>
  <c r="AO38" i="2"/>
  <c r="AP38" i="2"/>
  <c r="AR38" i="2" s="1"/>
  <c r="Y34" i="2"/>
  <c r="J183" i="2"/>
  <c r="J182" i="2"/>
  <c r="AB131" i="4"/>
  <c r="AO132" i="2" s="1"/>
  <c r="AQ46" i="2"/>
  <c r="P91" i="2"/>
  <c r="P84" i="2" s="1"/>
  <c r="O25" i="2"/>
  <c r="O24" i="2" s="1"/>
  <c r="K25" i="2"/>
  <c r="E13" i="14"/>
  <c r="E14" i="14" s="1"/>
  <c r="G14" i="14" s="1"/>
  <c r="H14" i="14" s="1"/>
  <c r="I14" i="14" s="1"/>
  <c r="L25" i="2"/>
  <c r="G12" i="14"/>
  <c r="H12" i="14" s="1"/>
  <c r="I12" i="14" s="1"/>
  <c r="M25" i="2"/>
  <c r="M24" i="2" s="1"/>
  <c r="N25" i="2"/>
  <c r="N24" i="2" s="1"/>
  <c r="F55" i="18"/>
  <c r="F56" i="18" s="1"/>
  <c r="F57" i="18" s="1"/>
  <c r="G53" i="18" s="1"/>
  <c r="AI119" i="2"/>
  <c r="AR129" i="4"/>
  <c r="BD46" i="2"/>
  <c r="BR30" i="2"/>
  <c r="BS30" i="2" s="1"/>
  <c r="BT30" i="2" s="1"/>
  <c r="BU30" i="2" s="1"/>
  <c r="BV30" i="2" s="1"/>
  <c r="BW30" i="2" s="1"/>
  <c r="BX30" i="2" s="1"/>
  <c r="BY30" i="2" s="1"/>
  <c r="BQ30" i="2"/>
  <c r="BA57" i="2"/>
  <c r="AQ57" i="2"/>
  <c r="C68" i="2"/>
  <c r="V57" i="2"/>
  <c r="AD57" i="2" s="1"/>
  <c r="E249" i="4"/>
  <c r="E251" i="4"/>
  <c r="F247" i="4" s="1"/>
  <c r="Q26" i="17"/>
  <c r="P54" i="2" s="1"/>
  <c r="R22" i="17"/>
  <c r="R26" i="17" s="1"/>
  <c r="Q54" i="2" s="1"/>
  <c r="N55" i="2"/>
  <c r="M55" i="2"/>
  <c r="L55" i="2"/>
  <c r="S55" i="2"/>
  <c r="Z55" i="2"/>
  <c r="Y55" i="2"/>
  <c r="P55" i="2"/>
  <c r="O55" i="2"/>
  <c r="U55" i="2"/>
  <c r="T55" i="2"/>
  <c r="K55" i="2"/>
  <c r="R55" i="2"/>
  <c r="D30" i="17"/>
  <c r="X55" i="2"/>
  <c r="W55" i="2"/>
  <c r="V55" i="2"/>
  <c r="N8" i="8"/>
  <c r="M18" i="8"/>
  <c r="K20" i="8" s="1"/>
  <c r="D191" i="4"/>
  <c r="E187" i="4" s="1"/>
  <c r="D189" i="4"/>
  <c r="F157" i="4"/>
  <c r="D89" i="4"/>
  <c r="D87" i="4"/>
  <c r="X71" i="4"/>
  <c r="X73" i="4"/>
  <c r="Y69" i="4" s="1"/>
  <c r="V92" i="2"/>
  <c r="J22" i="2"/>
  <c r="G22" i="2"/>
  <c r="F22" i="2"/>
  <c r="I22" i="2"/>
  <c r="H22" i="2"/>
  <c r="E22" i="2"/>
  <c r="AA55" i="2"/>
  <c r="AB18" i="2"/>
  <c r="AB23" i="17"/>
  <c r="S234" i="4"/>
  <c r="S236" i="4"/>
  <c r="T232" i="4" s="1"/>
  <c r="F13" i="18"/>
  <c r="F14" i="18" s="1"/>
  <c r="F15" i="18" s="1"/>
  <c r="G11" i="18" s="1"/>
  <c r="Y27" i="2"/>
  <c r="Z27" i="2"/>
  <c r="S26" i="17"/>
  <c r="R54" i="2" s="1"/>
  <c r="AY35" i="2"/>
  <c r="BC37" i="2"/>
  <c r="BE37" i="2" s="1"/>
  <c r="G41" i="18"/>
  <c r="G42" i="18" s="1"/>
  <c r="G43" i="18" s="1"/>
  <c r="H39" i="18" s="1"/>
  <c r="F27" i="18"/>
  <c r="F28" i="18" s="1"/>
  <c r="F29" i="18" s="1"/>
  <c r="G25" i="18" s="1"/>
  <c r="I23" i="2"/>
  <c r="F23" i="2"/>
  <c r="O20" i="7"/>
  <c r="G23" i="2"/>
  <c r="H23" i="2"/>
  <c r="J23" i="2"/>
  <c r="E23" i="2"/>
  <c r="I202" i="4"/>
  <c r="R27" i="2"/>
  <c r="AG29" i="2"/>
  <c r="AH29" i="2" s="1"/>
  <c r="AI29" i="2" s="1"/>
  <c r="AJ29" i="2" s="1"/>
  <c r="AK29" i="2" s="1"/>
  <c r="AL29" i="2" s="1"/>
  <c r="AM29" i="2" s="1"/>
  <c r="AN29" i="2" s="1"/>
  <c r="AG31" i="2"/>
  <c r="AH31" i="2" s="1"/>
  <c r="AI31" i="2" s="1"/>
  <c r="AT39" i="2"/>
  <c r="AU39" i="2" s="1"/>
  <c r="AV39" i="2" s="1"/>
  <c r="AW39" i="2" s="1"/>
  <c r="AX39" i="2" s="1"/>
  <c r="AY39" i="2" s="1"/>
  <c r="AZ39" i="2" s="1"/>
  <c r="BA39" i="2" s="1"/>
  <c r="BB39" i="2" s="1"/>
  <c r="BG41" i="2" s="1"/>
  <c r="AG33" i="2"/>
  <c r="AT37" i="2"/>
  <c r="AU37" i="2" s="1"/>
  <c r="AV37" i="2" s="1"/>
  <c r="AW37" i="2" s="1"/>
  <c r="AX37" i="2" s="1"/>
  <c r="AV41" i="2"/>
  <c r="AW41" i="2" s="1"/>
  <c r="AX41" i="2" s="1"/>
  <c r="BD43" i="2"/>
  <c r="R91" i="2"/>
  <c r="X13" i="16"/>
  <c r="W11" i="16"/>
  <c r="X7" i="16"/>
  <c r="X6" i="16"/>
  <c r="I53" i="2"/>
  <c r="I51" i="2" s="1"/>
  <c r="I106" i="2" s="1"/>
  <c r="K19" i="16"/>
  <c r="L5" i="16"/>
  <c r="AN4" i="16"/>
  <c r="N4" i="16"/>
  <c r="AI12" i="16"/>
  <c r="V9" i="16"/>
  <c r="V8" i="16"/>
  <c r="BJ8" i="16"/>
  <c r="BI8" i="16"/>
  <c r="T10" i="16"/>
  <c r="BT6" i="16"/>
  <c r="BU6" i="16" s="1"/>
  <c r="BV6" i="16" s="1"/>
  <c r="BW6" i="16" s="1"/>
  <c r="BX6" i="16" s="1"/>
  <c r="BY6" i="16" s="1"/>
  <c r="BZ6" i="16" s="1"/>
  <c r="CA6" i="16" s="1"/>
  <c r="BT5" i="16"/>
  <c r="BU5" i="16" s="1"/>
  <c r="BV5" i="16" s="1"/>
  <c r="H106" i="2"/>
  <c r="U90" i="2"/>
  <c r="Y92" i="2"/>
  <c r="AQ92" i="2" s="1"/>
  <c r="F305" i="4"/>
  <c r="F307" i="4"/>
  <c r="G303" i="4" s="1"/>
  <c r="E263" i="4"/>
  <c r="AA114" i="2" s="1"/>
  <c r="E265" i="4"/>
  <c r="F261" i="4" s="1"/>
  <c r="Q219" i="4"/>
  <c r="G335" i="4"/>
  <c r="H331" i="4" s="1"/>
  <c r="G333" i="4"/>
  <c r="F293" i="4"/>
  <c r="G289" i="4" s="1"/>
  <c r="F291" i="4"/>
  <c r="G277" i="4"/>
  <c r="G279" i="4"/>
  <c r="H275" i="4" s="1"/>
  <c r="G321" i="4"/>
  <c r="H317" i="4" s="1"/>
  <c r="G319" i="4"/>
  <c r="G347" i="4"/>
  <c r="G349" i="4"/>
  <c r="H345" i="4" s="1"/>
  <c r="Q84" i="2" l="1"/>
  <c r="AD90" i="2"/>
  <c r="AD38" i="2"/>
  <c r="AF38" i="2" s="1"/>
  <c r="AE38" i="2"/>
  <c r="AG38" i="2" s="1"/>
  <c r="AH38" i="2" s="1"/>
  <c r="AI38" i="2" s="1"/>
  <c r="AJ38" i="2" s="1"/>
  <c r="AK38" i="2" s="1"/>
  <c r="AL38" i="2" s="1"/>
  <c r="AM38" i="2" s="1"/>
  <c r="AN38" i="2" s="1"/>
  <c r="AJ44" i="2"/>
  <c r="AK44" i="2" s="1"/>
  <c r="AL44" i="2" s="1"/>
  <c r="AM44" i="2" s="1"/>
  <c r="AN44" i="2" s="1"/>
  <c r="AO44" i="2" s="1"/>
  <c r="AP44" i="2" s="1"/>
  <c r="AR44" i="2" s="1"/>
  <c r="AS44" i="2" s="1"/>
  <c r="AT44" i="2" s="1"/>
  <c r="AU44" i="2" s="1"/>
  <c r="AV44" i="2" s="1"/>
  <c r="AW44" i="2" s="1"/>
  <c r="AX44" i="2" s="1"/>
  <c r="AY44" i="2" s="1"/>
  <c r="AZ44" i="2" s="1"/>
  <c r="BA44" i="2" s="1"/>
  <c r="BB44" i="2" s="1"/>
  <c r="BC44" i="2" s="1"/>
  <c r="BE44" i="2" s="1"/>
  <c r="BF44" i="2" s="1"/>
  <c r="AG40" i="2"/>
  <c r="AH40" i="2" s="1"/>
  <c r="AI40" i="2" s="1"/>
  <c r="AJ40" i="2" s="1"/>
  <c r="AK40" i="2" s="1"/>
  <c r="AL40" i="2" s="1"/>
  <c r="AM40" i="2" s="1"/>
  <c r="AN40" i="2" s="1"/>
  <c r="AO40" i="2" s="1"/>
  <c r="AP40" i="2" s="1"/>
  <c r="AH42" i="2"/>
  <c r="AI42" i="2" s="1"/>
  <c r="AJ42" i="2" s="1"/>
  <c r="AK42" i="2" s="1"/>
  <c r="AL42" i="2" s="1"/>
  <c r="AM42" i="2" s="1"/>
  <c r="AN42" i="2" s="1"/>
  <c r="AO42" i="2" s="1"/>
  <c r="AP42" i="2" s="1"/>
  <c r="AR42" i="2" s="1"/>
  <c r="AS42" i="2" s="1"/>
  <c r="AT42" i="2" s="1"/>
  <c r="AU42" i="2" s="1"/>
  <c r="AV42" i="2" s="1"/>
  <c r="AW42" i="2" s="1"/>
  <c r="AX42" i="2" s="1"/>
  <c r="AY42" i="2" s="1"/>
  <c r="AZ42" i="2" s="1"/>
  <c r="BA42" i="2" s="1"/>
  <c r="BB42" i="2" s="1"/>
  <c r="BC42" i="2" s="1"/>
  <c r="BE42" i="2" s="1"/>
  <c r="BF42" i="2" s="1"/>
  <c r="AK45" i="2"/>
  <c r="AL45" i="2" s="1"/>
  <c r="AM45" i="2" s="1"/>
  <c r="AN45" i="2" s="1"/>
  <c r="AO45" i="2" s="1"/>
  <c r="AP45" i="2" s="1"/>
  <c r="AR45" i="2" s="1"/>
  <c r="AB36" i="2"/>
  <c r="AC36" i="2" s="1"/>
  <c r="AE36" i="2" s="1"/>
  <c r="AG36" i="2" s="1"/>
  <c r="AH36" i="2" s="1"/>
  <c r="AI36" i="2" s="1"/>
  <c r="AJ36" i="2" s="1"/>
  <c r="AK36" i="2" s="1"/>
  <c r="AL36" i="2" s="1"/>
  <c r="AM36" i="2" s="1"/>
  <c r="AN36" i="2" s="1"/>
  <c r="X32" i="2"/>
  <c r="Y32" i="2" s="1"/>
  <c r="Z32" i="2" s="1"/>
  <c r="Z34" i="2"/>
  <c r="AA34" i="2" s="1"/>
  <c r="AB34" i="2" s="1"/>
  <c r="AC34" i="2" s="1"/>
  <c r="AE34" i="2" s="1"/>
  <c r="V30" i="2"/>
  <c r="Q91" i="2"/>
  <c r="AG103" i="2"/>
  <c r="AH104" i="2" s="1"/>
  <c r="Y16" i="2"/>
  <c r="X23" i="2"/>
  <c r="F15" i="4"/>
  <c r="G11" i="4" s="1"/>
  <c r="F13" i="4"/>
  <c r="AB132" i="4"/>
  <c r="AC128" i="4" s="1"/>
  <c r="AC130" i="4" s="1"/>
  <c r="AP131" i="2" s="1"/>
  <c r="AQ131" i="2" s="1"/>
  <c r="AF32" i="2"/>
  <c r="AG32" i="2" s="1"/>
  <c r="Y26" i="2"/>
  <c r="AS40" i="2"/>
  <c r="Z26" i="2"/>
  <c r="AS36" i="2"/>
  <c r="AF34" i="2"/>
  <c r="W30" i="2"/>
  <c r="AS38" i="2"/>
  <c r="K183" i="2"/>
  <c r="K182" i="2"/>
  <c r="R92" i="2"/>
  <c r="P25" i="2"/>
  <c r="G13" i="14"/>
  <c r="H13" i="14" s="1"/>
  <c r="I13" i="14" s="1"/>
  <c r="K24" i="2"/>
  <c r="L24" i="2"/>
  <c r="G55" i="18"/>
  <c r="G56" i="18" s="1"/>
  <c r="G57" i="18" s="1"/>
  <c r="H53" i="18" s="1"/>
  <c r="AB44" i="4"/>
  <c r="AH163" i="2"/>
  <c r="AS129" i="4"/>
  <c r="BZ30" i="2"/>
  <c r="Q55" i="2"/>
  <c r="BD83" i="2"/>
  <c r="C83" i="2" s="1"/>
  <c r="BB57" i="2"/>
  <c r="F249" i="4"/>
  <c r="F251" i="4"/>
  <c r="G247" i="4" s="1"/>
  <c r="N18" i="8"/>
  <c r="E191" i="4"/>
  <c r="E189" i="4"/>
  <c r="F159" i="4"/>
  <c r="F161" i="4"/>
  <c r="G157" i="4" s="1"/>
  <c r="E85" i="4"/>
  <c r="Q22" i="2"/>
  <c r="Y71" i="4"/>
  <c r="Z71" i="4" s="1"/>
  <c r="Y73" i="4"/>
  <c r="W93" i="2"/>
  <c r="AJ31" i="2"/>
  <c r="AK31" i="2" s="1"/>
  <c r="AL31" i="2" s="1"/>
  <c r="AM31" i="2" s="1"/>
  <c r="AN31" i="2" s="1"/>
  <c r="I47" i="2"/>
  <c r="F47" i="2"/>
  <c r="G47" i="2"/>
  <c r="H47" i="2"/>
  <c r="J47" i="2"/>
  <c r="J48" i="2" s="1"/>
  <c r="AO29" i="2"/>
  <c r="AY41" i="2"/>
  <c r="U28" i="2"/>
  <c r="AB55" i="2"/>
  <c r="AC18" i="2"/>
  <c r="AC23" i="17"/>
  <c r="T234" i="4"/>
  <c r="T236" i="4"/>
  <c r="U232" i="4" s="1"/>
  <c r="AH33" i="2"/>
  <c r="AI33" i="2" s="1"/>
  <c r="AJ33" i="2" s="1"/>
  <c r="AK33" i="2" s="1"/>
  <c r="AL33" i="2" s="1"/>
  <c r="AM33" i="2" s="1"/>
  <c r="AN33" i="2" s="1"/>
  <c r="AO33" i="2" s="1"/>
  <c r="AP33" i="2" s="1"/>
  <c r="S92" i="2"/>
  <c r="G13" i="18"/>
  <c r="G14" i="18" s="1"/>
  <c r="G15" i="18" s="1"/>
  <c r="H11" i="18" s="1"/>
  <c r="AA27" i="2"/>
  <c r="AB27" i="2"/>
  <c r="AC27" i="2" s="1"/>
  <c r="AE27" i="2" s="1"/>
  <c r="T26" i="17"/>
  <c r="S54" i="2" s="1"/>
  <c r="AZ35" i="2"/>
  <c r="BF37" i="2"/>
  <c r="BG37" i="2" s="1"/>
  <c r="BH37" i="2" s="1"/>
  <c r="BI37" i="2" s="1"/>
  <c r="BJ37" i="2" s="1"/>
  <c r="BK37" i="2" s="1"/>
  <c r="BL37" i="2" s="1"/>
  <c r="BM37" i="2" s="1"/>
  <c r="BN37" i="2" s="1"/>
  <c r="BO37" i="2" s="1"/>
  <c r="BP37" i="2" s="1"/>
  <c r="H41" i="18"/>
  <c r="H42" i="18" s="1"/>
  <c r="H43" i="18" s="1"/>
  <c r="I39" i="18" s="1"/>
  <c r="G27" i="18"/>
  <c r="G28" i="18" s="1"/>
  <c r="G29" i="18" s="1"/>
  <c r="H25" i="18" s="1"/>
  <c r="I204" i="4"/>
  <c r="I206" i="4"/>
  <c r="J202" i="4" s="1"/>
  <c r="T27" i="2"/>
  <c r="S27" i="2"/>
  <c r="BH41" i="2"/>
  <c r="BK43" i="2"/>
  <c r="AY37" i="2"/>
  <c r="BC39" i="2"/>
  <c r="E47" i="2"/>
  <c r="Y13" i="16"/>
  <c r="X11" i="16"/>
  <c r="Y7" i="16"/>
  <c r="Y6" i="16"/>
  <c r="J53" i="2"/>
  <c r="J51" i="2" s="1"/>
  <c r="L19" i="16"/>
  <c r="M5" i="16"/>
  <c r="AO4" i="16"/>
  <c r="O4" i="16"/>
  <c r="AJ12" i="16"/>
  <c r="W9" i="16"/>
  <c r="W8" i="16"/>
  <c r="BL8" i="16"/>
  <c r="BK8" i="16"/>
  <c r="U10" i="16"/>
  <c r="CB6" i="16"/>
  <c r="CC6" i="16" s="1"/>
  <c r="CD6" i="16" s="1"/>
  <c r="CF6" i="16" s="1"/>
  <c r="CE6" i="16"/>
  <c r="BW5" i="16"/>
  <c r="BX5" i="16" s="1"/>
  <c r="BY5" i="16" s="1"/>
  <c r="BZ5" i="16" s="1"/>
  <c r="CA5" i="16" s="1"/>
  <c r="CB5" i="16" s="1"/>
  <c r="CC5" i="16" s="1"/>
  <c r="CD5" i="16" s="1"/>
  <c r="CF5" i="16" s="1"/>
  <c r="CE5" i="16"/>
  <c r="C90" i="2"/>
  <c r="V91" i="2"/>
  <c r="Z93" i="2"/>
  <c r="F263" i="4"/>
  <c r="F265" i="4"/>
  <c r="G261" i="4" s="1"/>
  <c r="G305" i="4"/>
  <c r="G307" i="4"/>
  <c r="H303" i="4" s="1"/>
  <c r="H335" i="4"/>
  <c r="I331" i="4" s="1"/>
  <c r="H333" i="4"/>
  <c r="G293" i="4"/>
  <c r="H289" i="4" s="1"/>
  <c r="G291" i="4"/>
  <c r="Q220" i="4"/>
  <c r="H277" i="4"/>
  <c r="H279" i="4"/>
  <c r="I275" i="4" s="1"/>
  <c r="H321" i="4"/>
  <c r="I317" i="4" s="1"/>
  <c r="H319" i="4"/>
  <c r="H349" i="4"/>
  <c r="I345" i="4" s="1"/>
  <c r="H347" i="4"/>
  <c r="AQ38" i="2" l="1"/>
  <c r="AQ40" i="2"/>
  <c r="AQ42" i="2"/>
  <c r="AD91" i="2"/>
  <c r="AD32" i="2"/>
  <c r="AQ44" i="2"/>
  <c r="AD27" i="2"/>
  <c r="AQ45" i="2"/>
  <c r="BG44" i="2"/>
  <c r="BI44" i="2" s="1"/>
  <c r="BK44" i="2" s="1"/>
  <c r="BM44" i="2" s="1"/>
  <c r="BO44" i="2" s="1"/>
  <c r="BP44" i="2" s="1"/>
  <c r="BR44" i="2" s="1"/>
  <c r="BS44" i="2" s="1"/>
  <c r="BT44" i="2" s="1"/>
  <c r="BU44" i="2" s="1"/>
  <c r="BV44" i="2" s="1"/>
  <c r="BW44" i="2" s="1"/>
  <c r="BX44" i="2" s="1"/>
  <c r="BY44" i="2" s="1"/>
  <c r="AS45" i="2"/>
  <c r="AT45" i="2" s="1"/>
  <c r="AU45" i="2" s="1"/>
  <c r="AV45" i="2" s="1"/>
  <c r="AW45" i="2" s="1"/>
  <c r="AX45" i="2" s="1"/>
  <c r="AY45" i="2" s="1"/>
  <c r="AZ45" i="2" s="1"/>
  <c r="BA45" i="2" s="1"/>
  <c r="BB45" i="2" s="1"/>
  <c r="BC45" i="2" s="1"/>
  <c r="BE45" i="2" s="1"/>
  <c r="AD34" i="2"/>
  <c r="AD36" i="2"/>
  <c r="AF36" i="2" s="1"/>
  <c r="AQ36" i="2" s="1"/>
  <c r="R84" i="2"/>
  <c r="Z16" i="2"/>
  <c r="Y23" i="2"/>
  <c r="Y22" i="2"/>
  <c r="Q25" i="2"/>
  <c r="P24" i="2"/>
  <c r="Q24" i="2" s="1"/>
  <c r="G15" i="4"/>
  <c r="H11" i="4" s="1"/>
  <c r="G13" i="4"/>
  <c r="O16" i="8"/>
  <c r="O15" i="8"/>
  <c r="O14" i="8"/>
  <c r="O13" i="8"/>
  <c r="O12" i="8"/>
  <c r="O11" i="8"/>
  <c r="O10" i="8"/>
  <c r="O8" i="8"/>
  <c r="O6" i="8"/>
  <c r="O9" i="8"/>
  <c r="AC131" i="4"/>
  <c r="AP132" i="2" s="1"/>
  <c r="AQ132" i="2" s="1"/>
  <c r="AT38" i="2"/>
  <c r="AU38" i="2" s="1"/>
  <c r="AV38" i="2" s="1"/>
  <c r="AW38" i="2" s="1"/>
  <c r="AX38" i="2" s="1"/>
  <c r="AG34" i="2"/>
  <c r="BD42" i="2"/>
  <c r="X30" i="2"/>
  <c r="AH32" i="2"/>
  <c r="AB26" i="2"/>
  <c r="AC26" i="2" s="1"/>
  <c r="AA26" i="2"/>
  <c r="BH44" i="2"/>
  <c r="BJ44" i="2" s="1"/>
  <c r="BL44" i="2" s="1"/>
  <c r="AT36" i="2"/>
  <c r="AU36" i="2" s="1"/>
  <c r="AV36" i="2" s="1"/>
  <c r="AW36" i="2" s="1"/>
  <c r="AX36" i="2" s="1"/>
  <c r="BG42" i="2"/>
  <c r="BH42" i="2" s="1"/>
  <c r="BD44" i="2"/>
  <c r="AT40" i="2"/>
  <c r="AU40" i="2" s="1"/>
  <c r="AV40" i="2" s="1"/>
  <c r="AW40" i="2" s="1"/>
  <c r="AX40" i="2" s="1"/>
  <c r="AY40" i="2" s="1"/>
  <c r="AZ40" i="2" s="1"/>
  <c r="BA40" i="2" s="1"/>
  <c r="BB40" i="2" s="1"/>
  <c r="L183" i="2"/>
  <c r="L182" i="2"/>
  <c r="S93" i="2"/>
  <c r="C46" i="2"/>
  <c r="I15" i="14"/>
  <c r="I16" i="14" s="1"/>
  <c r="R25" i="2"/>
  <c r="R24" i="2" s="1"/>
  <c r="H55" i="18"/>
  <c r="H56" i="18" s="1"/>
  <c r="H57" i="18" s="1"/>
  <c r="I53" i="18" s="1"/>
  <c r="AB45" i="4"/>
  <c r="AC41" i="4" s="1"/>
  <c r="AC43" i="4" s="1"/>
  <c r="AI120" i="2"/>
  <c r="AT129" i="4"/>
  <c r="CA30" i="2"/>
  <c r="CB30" i="2" s="1"/>
  <c r="G249" i="4"/>
  <c r="G251" i="4"/>
  <c r="H247" i="4" s="1"/>
  <c r="K21" i="8"/>
  <c r="F187" i="4"/>
  <c r="G159" i="4"/>
  <c r="G161" i="4"/>
  <c r="H157" i="4" s="1"/>
  <c r="AO31" i="2"/>
  <c r="E89" i="4"/>
  <c r="F85" i="4" s="1"/>
  <c r="E87" i="4"/>
  <c r="AR33" i="2"/>
  <c r="AS33" i="2" s="1"/>
  <c r="AT33" i="2" s="1"/>
  <c r="AQ33" i="2"/>
  <c r="AP29" i="2"/>
  <c r="V28" i="2"/>
  <c r="W28" i="2" s="1"/>
  <c r="X94" i="2"/>
  <c r="AZ41" i="2"/>
  <c r="BA41" i="2" s="1"/>
  <c r="I48" i="2"/>
  <c r="I109" i="2" s="1"/>
  <c r="I108" i="2"/>
  <c r="F48" i="2"/>
  <c r="F109" i="2" s="1"/>
  <c r="F108" i="2"/>
  <c r="G48" i="2"/>
  <c r="G109" i="2" s="1"/>
  <c r="G108" i="2"/>
  <c r="H48" i="2"/>
  <c r="H109" i="2" s="1"/>
  <c r="H108" i="2"/>
  <c r="U234" i="4"/>
  <c r="U236" i="4"/>
  <c r="V232" i="4" s="1"/>
  <c r="AC55" i="2"/>
  <c r="AD55" i="2" s="1"/>
  <c r="AE18" i="2"/>
  <c r="AD23" i="17"/>
  <c r="AE23" i="17" s="1"/>
  <c r="T93" i="2"/>
  <c r="H13" i="18"/>
  <c r="H14" i="18" s="1"/>
  <c r="H15" i="18" s="1"/>
  <c r="I11" i="18" s="1"/>
  <c r="AF27" i="2"/>
  <c r="U26" i="17"/>
  <c r="T54" i="2" s="1"/>
  <c r="I41" i="18"/>
  <c r="I42" i="18" s="1"/>
  <c r="I43" i="18" s="1"/>
  <c r="J39" i="18" s="1"/>
  <c r="H27" i="18"/>
  <c r="H28" i="18" s="1"/>
  <c r="H29" i="18" s="1"/>
  <c r="I25" i="18" s="1"/>
  <c r="J204" i="4"/>
  <c r="J206" i="4"/>
  <c r="BI41" i="2"/>
  <c r="BL43" i="2"/>
  <c r="AZ37" i="2"/>
  <c r="BD39" i="2"/>
  <c r="BE39" i="2"/>
  <c r="E108" i="2"/>
  <c r="E48" i="2"/>
  <c r="E109" i="2" s="1"/>
  <c r="E110" i="2" s="1"/>
  <c r="BA35" i="2"/>
  <c r="BB35" i="2" s="1"/>
  <c r="BR37" i="2"/>
  <c r="BQ37" i="2"/>
  <c r="Z13" i="16"/>
  <c r="Y11" i="16"/>
  <c r="Z7" i="16"/>
  <c r="Z6" i="16"/>
  <c r="J106" i="2"/>
  <c r="K53" i="2"/>
  <c r="K51" i="2" s="1"/>
  <c r="M19" i="16"/>
  <c r="N5" i="16"/>
  <c r="AP4" i="16"/>
  <c r="P4" i="16"/>
  <c r="AK12" i="16"/>
  <c r="X9" i="16"/>
  <c r="X8" i="16"/>
  <c r="BM8" i="16"/>
  <c r="BN8" i="16"/>
  <c r="V10" i="16"/>
  <c r="CG6" i="16"/>
  <c r="CH6" i="16" s="1"/>
  <c r="CI6" i="16" s="1"/>
  <c r="CJ6" i="16" s="1"/>
  <c r="CK6" i="16" s="1"/>
  <c r="CG5" i="16"/>
  <c r="C91" i="2"/>
  <c r="W92" i="2"/>
  <c r="AD92" i="2" s="1"/>
  <c r="AA94" i="2"/>
  <c r="H307" i="4"/>
  <c r="I303" i="4" s="1"/>
  <c r="H305" i="4"/>
  <c r="G265" i="4"/>
  <c r="H261" i="4" s="1"/>
  <c r="G263" i="4"/>
  <c r="AC114" i="2" s="1"/>
  <c r="AB114" i="2"/>
  <c r="Q221" i="4"/>
  <c r="R217" i="4" s="1"/>
  <c r="H293" i="4"/>
  <c r="I289" i="4" s="1"/>
  <c r="H291" i="4"/>
  <c r="I335" i="4"/>
  <c r="J331" i="4" s="1"/>
  <c r="I333" i="4"/>
  <c r="I277" i="4"/>
  <c r="I279" i="4"/>
  <c r="J275" i="4" s="1"/>
  <c r="I321" i="4"/>
  <c r="J317" i="4" s="1"/>
  <c r="I319" i="4"/>
  <c r="I349" i="4"/>
  <c r="J345" i="4" s="1"/>
  <c r="I347" i="4"/>
  <c r="AD26" i="2" l="1"/>
  <c r="BD45" i="2"/>
  <c r="BF45" i="2"/>
  <c r="BH45" i="2" s="1"/>
  <c r="BJ45" i="2" s="1"/>
  <c r="BL45" i="2" s="1"/>
  <c r="BN45" i="2" s="1"/>
  <c r="BP45" i="2" s="1"/>
  <c r="BR45" i="2" s="1"/>
  <c r="BS45" i="2" s="1"/>
  <c r="BT45" i="2" s="1"/>
  <c r="BU45" i="2" s="1"/>
  <c r="BV45" i="2" s="1"/>
  <c r="BW45" i="2" s="1"/>
  <c r="BX45" i="2" s="1"/>
  <c r="BG45" i="2"/>
  <c r="BI45" i="2" s="1"/>
  <c r="BK45" i="2" s="1"/>
  <c r="BM45" i="2" s="1"/>
  <c r="BO45" i="2" s="1"/>
  <c r="BQ45" i="2" s="1"/>
  <c r="S84" i="2"/>
  <c r="AA16" i="2"/>
  <c r="Z23" i="2"/>
  <c r="Z22" i="2"/>
  <c r="H15" i="4"/>
  <c r="I11" i="4" s="1"/>
  <c r="H13" i="4"/>
  <c r="O18" i="8"/>
  <c r="AC132" i="4"/>
  <c r="AD128" i="4" s="1"/>
  <c r="AD130" i="4" s="1"/>
  <c r="AY38" i="2"/>
  <c r="BC40" i="2"/>
  <c r="BZ44" i="2"/>
  <c r="CA44" i="2" s="1"/>
  <c r="CB44" i="2" s="1"/>
  <c r="CC44" i="2" s="1"/>
  <c r="AI32" i="2"/>
  <c r="AY36" i="2"/>
  <c r="BN44" i="2"/>
  <c r="BQ44" i="2" s="1"/>
  <c r="BC38" i="2"/>
  <c r="BE38" i="2" s="1"/>
  <c r="Y30" i="2"/>
  <c r="AE26" i="2"/>
  <c r="AF26" i="2" s="1"/>
  <c r="AH34" i="2"/>
  <c r="AI34" i="2" s="1"/>
  <c r="M183" i="2"/>
  <c r="M182" i="2"/>
  <c r="T94" i="2"/>
  <c r="AJ119" i="2"/>
  <c r="Q20" i="14"/>
  <c r="H20" i="14"/>
  <c r="U20" i="14"/>
  <c r="V20" i="14"/>
  <c r="S20" i="14"/>
  <c r="M20" i="14"/>
  <c r="K20" i="14"/>
  <c r="W19" i="14" s="1"/>
  <c r="S25" i="2"/>
  <c r="S24" i="2" s="1"/>
  <c r="F20" i="14"/>
  <c r="O20" i="14"/>
  <c r="G20" i="14"/>
  <c r="P20" i="14"/>
  <c r="J20" i="14"/>
  <c r="E20" i="14"/>
  <c r="R20" i="14"/>
  <c r="T20" i="14"/>
  <c r="N20" i="14"/>
  <c r="I20" i="14"/>
  <c r="L20" i="14"/>
  <c r="T25" i="2"/>
  <c r="T24" i="2" s="1"/>
  <c r="I55" i="18"/>
  <c r="I56" i="18" s="1"/>
  <c r="I57" i="18" s="1"/>
  <c r="J53" i="18" s="1"/>
  <c r="AI163" i="2"/>
  <c r="AU129" i="4"/>
  <c r="CC30" i="2"/>
  <c r="CE30" i="2" s="1"/>
  <c r="CF30" i="2" s="1"/>
  <c r="CG30" i="2" s="1"/>
  <c r="CH30" i="2" s="1"/>
  <c r="CI30" i="2" s="1"/>
  <c r="CJ30" i="2" s="1"/>
  <c r="CK30" i="2" s="1"/>
  <c r="CL30" i="2" s="1"/>
  <c r="CM30" i="2" s="1"/>
  <c r="H249" i="4"/>
  <c r="H251" i="4"/>
  <c r="I247" i="4" s="1"/>
  <c r="AP31" i="2"/>
  <c r="F191" i="4"/>
  <c r="G187" i="4" s="1"/>
  <c r="F189" i="4"/>
  <c r="U94" i="2"/>
  <c r="E166" i="2"/>
  <c r="H159" i="4"/>
  <c r="H161" i="4"/>
  <c r="X28" i="2"/>
  <c r="Y28" i="2" s="1"/>
  <c r="Z28" i="2" s="1"/>
  <c r="F89" i="4"/>
  <c r="G85" i="4" s="1"/>
  <c r="F87" i="4"/>
  <c r="AR29" i="2"/>
  <c r="AS29" i="2" s="1"/>
  <c r="AT29" i="2" s="1"/>
  <c r="AU29" i="2" s="1"/>
  <c r="AQ29" i="2"/>
  <c r="BB41" i="2"/>
  <c r="Y95" i="2"/>
  <c r="V234" i="4"/>
  <c r="V236" i="4"/>
  <c r="W232" i="4" s="1"/>
  <c r="BY45" i="2"/>
  <c r="BZ45" i="2" s="1"/>
  <c r="CA45" i="2" s="1"/>
  <c r="CB45" i="2" s="1"/>
  <c r="CC45" i="2" s="1"/>
  <c r="AE55" i="2"/>
  <c r="AF23" i="17"/>
  <c r="AF18" i="2"/>
  <c r="AG18" i="2" s="1"/>
  <c r="AH18" i="2" s="1"/>
  <c r="AI18" i="2" s="1"/>
  <c r="AJ18" i="2" s="1"/>
  <c r="AK18" i="2" s="1"/>
  <c r="AL18" i="2" s="1"/>
  <c r="AM18" i="2" s="1"/>
  <c r="AN18" i="2" s="1"/>
  <c r="AO18" i="2" s="1"/>
  <c r="AP18" i="2" s="1"/>
  <c r="AR18" i="2" s="1"/>
  <c r="AS18" i="2" s="1"/>
  <c r="AT18" i="2" s="1"/>
  <c r="AU18" i="2" s="1"/>
  <c r="AV18" i="2" s="1"/>
  <c r="AW18" i="2" s="1"/>
  <c r="AX18" i="2" s="1"/>
  <c r="AY18" i="2" s="1"/>
  <c r="AZ18" i="2" s="1"/>
  <c r="BA18" i="2" s="1"/>
  <c r="BB18" i="2" s="1"/>
  <c r="BC18" i="2" s="1"/>
  <c r="BE18" i="2" s="1"/>
  <c r="BF18" i="2" s="1"/>
  <c r="BG18" i="2" s="1"/>
  <c r="BH18" i="2" s="1"/>
  <c r="BI18" i="2" s="1"/>
  <c r="BJ18" i="2" s="1"/>
  <c r="BK18" i="2" s="1"/>
  <c r="BL18" i="2" s="1"/>
  <c r="BM18" i="2" s="1"/>
  <c r="BN18" i="2" s="1"/>
  <c r="BO18" i="2" s="1"/>
  <c r="BP18" i="2" s="1"/>
  <c r="BR18" i="2" s="1"/>
  <c r="BS18" i="2" s="1"/>
  <c r="BT18" i="2" s="1"/>
  <c r="BU18" i="2" s="1"/>
  <c r="BV18" i="2" s="1"/>
  <c r="BW18" i="2" s="1"/>
  <c r="BX18" i="2" s="1"/>
  <c r="BY18" i="2" s="1"/>
  <c r="BZ18" i="2" s="1"/>
  <c r="CA18" i="2" s="1"/>
  <c r="CB18" i="2" s="1"/>
  <c r="CC18" i="2" s="1"/>
  <c r="CE18" i="2" s="1"/>
  <c r="CF18" i="2" s="1"/>
  <c r="CG18" i="2" s="1"/>
  <c r="CH18" i="2" s="1"/>
  <c r="CI18" i="2" s="1"/>
  <c r="CJ18" i="2" s="1"/>
  <c r="CK18" i="2" s="1"/>
  <c r="CL18" i="2" s="1"/>
  <c r="CM18" i="2" s="1"/>
  <c r="CN18" i="2" s="1"/>
  <c r="CO18" i="2" s="1"/>
  <c r="CP18" i="2" s="1"/>
  <c r="I13" i="18"/>
  <c r="I14" i="18" s="1"/>
  <c r="I15" i="18" s="1"/>
  <c r="J11" i="18" s="1"/>
  <c r="V26" i="17"/>
  <c r="U54" i="2" s="1"/>
  <c r="J41" i="18"/>
  <c r="J42" i="18" s="1"/>
  <c r="J43" i="18" s="1"/>
  <c r="K39" i="18" s="1"/>
  <c r="I27" i="18"/>
  <c r="I28" i="18" s="1"/>
  <c r="I29" i="18" s="1"/>
  <c r="J25" i="18" s="1"/>
  <c r="K202" i="4"/>
  <c r="AU33" i="2"/>
  <c r="BF39" i="2"/>
  <c r="BS37" i="2"/>
  <c r="AG27" i="2"/>
  <c r="AH27" i="2" s="1"/>
  <c r="AI27" i="2" s="1"/>
  <c r="AJ27" i="2" s="1"/>
  <c r="BJ41" i="2"/>
  <c r="BK41" i="2" s="1"/>
  <c r="BL41" i="2" s="1"/>
  <c r="BM41" i="2" s="1"/>
  <c r="BN41" i="2" s="1"/>
  <c r="BO41" i="2" s="1"/>
  <c r="BM43" i="2"/>
  <c r="BN43" i="2" s="1"/>
  <c r="BO43" i="2" s="1"/>
  <c r="BP43" i="2" s="1"/>
  <c r="BA37" i="2"/>
  <c r="BB37" i="2" s="1"/>
  <c r="BD37" i="2" s="1"/>
  <c r="AA13" i="16"/>
  <c r="Z11" i="16"/>
  <c r="AA7" i="16"/>
  <c r="AA6" i="16"/>
  <c r="J108" i="2"/>
  <c r="J109" i="2"/>
  <c r="L53" i="2"/>
  <c r="L51" i="2" s="1"/>
  <c r="L106" i="2" s="1"/>
  <c r="N19" i="16"/>
  <c r="O5" i="16"/>
  <c r="AQ4" i="16"/>
  <c r="Q4" i="16"/>
  <c r="R4" i="16" s="1"/>
  <c r="AL12" i="16"/>
  <c r="Y9" i="16"/>
  <c r="Y8" i="16"/>
  <c r="BP8" i="16"/>
  <c r="BQ8" i="16" s="1"/>
  <c r="BS8" i="16" s="1"/>
  <c r="BO8" i="16"/>
  <c r="BR8" i="16" s="1"/>
  <c r="W10" i="16"/>
  <c r="K106" i="2"/>
  <c r="CL6" i="16"/>
  <c r="CM6" i="16" s="1"/>
  <c r="CN6" i="16" s="1"/>
  <c r="CO6" i="16" s="1"/>
  <c r="CP6" i="16" s="1"/>
  <c r="CQ6" i="16" s="1"/>
  <c r="CR6" i="16" s="1"/>
  <c r="CH5" i="16"/>
  <c r="CI5" i="16" s="1"/>
  <c r="CJ5" i="16" s="1"/>
  <c r="CK5" i="16" s="1"/>
  <c r="X93" i="2"/>
  <c r="AD93" i="2" s="1"/>
  <c r="AB95" i="2"/>
  <c r="AD114" i="2"/>
  <c r="H263" i="4"/>
  <c r="H265" i="4"/>
  <c r="I261" i="4" s="1"/>
  <c r="I307" i="4"/>
  <c r="J303" i="4" s="1"/>
  <c r="I305" i="4"/>
  <c r="I293" i="4"/>
  <c r="J289" i="4" s="1"/>
  <c r="I291" i="4"/>
  <c r="R219" i="4"/>
  <c r="J333" i="4"/>
  <c r="J335" i="4"/>
  <c r="K331" i="4" s="1"/>
  <c r="J277" i="4"/>
  <c r="J279" i="4"/>
  <c r="K275" i="4" s="1"/>
  <c r="J321" i="4"/>
  <c r="K317" i="4" s="1"/>
  <c r="J319" i="4"/>
  <c r="J349" i="4"/>
  <c r="K345" i="4" s="1"/>
  <c r="J347" i="4"/>
  <c r="T84" i="2" l="1"/>
  <c r="AB16" i="2"/>
  <c r="AA23" i="2"/>
  <c r="AA22" i="2"/>
  <c r="I15" i="4"/>
  <c r="J11" i="4" s="1"/>
  <c r="I13" i="4"/>
  <c r="BD40" i="2"/>
  <c r="AZ38" i="2"/>
  <c r="BF38" i="2"/>
  <c r="AZ36" i="2"/>
  <c r="AG26" i="2"/>
  <c r="N183" i="2"/>
  <c r="N182" i="2"/>
  <c r="CE44" i="2"/>
  <c r="CF44" i="2" s="1"/>
  <c r="CG44" i="2" s="1"/>
  <c r="CD44" i="2"/>
  <c r="Z30" i="2"/>
  <c r="AJ32" i="2"/>
  <c r="AJ34" i="2"/>
  <c r="AC44" i="4"/>
  <c r="AJ120" i="2" s="1"/>
  <c r="U95" i="2"/>
  <c r="AD131" i="4"/>
  <c r="AR131" i="2"/>
  <c r="U25" i="2"/>
  <c r="W20" i="14"/>
  <c r="V25" i="2"/>
  <c r="CD30" i="2"/>
  <c r="J55" i="18"/>
  <c r="J56" i="18" s="1"/>
  <c r="J57" i="18" s="1"/>
  <c r="K53" i="18" s="1"/>
  <c r="AJ163" i="2"/>
  <c r="AV129" i="4"/>
  <c r="BD41" i="2"/>
  <c r="CN30" i="2"/>
  <c r="CO30" i="2" s="1"/>
  <c r="CP30" i="2" s="1"/>
  <c r="I249" i="4"/>
  <c r="I251" i="4"/>
  <c r="J247" i="4" s="1"/>
  <c r="AR31" i="2"/>
  <c r="AS31" i="2" s="1"/>
  <c r="AT31" i="2" s="1"/>
  <c r="AU31" i="2" s="1"/>
  <c r="AV31" i="2" s="1"/>
  <c r="AQ31" i="2"/>
  <c r="V95" i="2"/>
  <c r="G191" i="4"/>
  <c r="H187" i="4" s="1"/>
  <c r="G189" i="4"/>
  <c r="AA28" i="2"/>
  <c r="AB28" i="2" s="1"/>
  <c r="AC28" i="2" s="1"/>
  <c r="AD28" i="2" s="1"/>
  <c r="I157" i="4"/>
  <c r="G89" i="4"/>
  <c r="G87" i="4"/>
  <c r="Z96" i="2"/>
  <c r="CE45" i="2"/>
  <c r="CF45" i="2" s="1"/>
  <c r="CG45" i="2" s="1"/>
  <c r="CH45" i="2" s="1"/>
  <c r="CD45" i="2"/>
  <c r="W236" i="4"/>
  <c r="X232" i="4" s="1"/>
  <c r="W234" i="4"/>
  <c r="BR43" i="2"/>
  <c r="BS43" i="2" s="1"/>
  <c r="BQ43" i="2"/>
  <c r="AF55" i="2"/>
  <c r="AG23" i="17"/>
  <c r="AK27" i="2"/>
  <c r="AL27" i="2" s="1"/>
  <c r="BP41" i="2"/>
  <c r="J13" i="18"/>
  <c r="J14" i="18" s="1"/>
  <c r="J15" i="18" s="1"/>
  <c r="K11" i="18" s="1"/>
  <c r="W26" i="17"/>
  <c r="V54" i="2" s="1"/>
  <c r="K41" i="18"/>
  <c r="K42" i="18" s="1"/>
  <c r="K43" i="18" s="1"/>
  <c r="L39" i="18" s="1"/>
  <c r="J27" i="18"/>
  <c r="J28" i="18" s="1"/>
  <c r="J29" i="18" s="1"/>
  <c r="K25" i="18" s="1"/>
  <c r="K204" i="4"/>
  <c r="K206" i="4"/>
  <c r="L202" i="4" s="1"/>
  <c r="AV29" i="2"/>
  <c r="AV33" i="2"/>
  <c r="BG39" i="2"/>
  <c r="BT37" i="2"/>
  <c r="CL5" i="16"/>
  <c r="CM5" i="16" s="1"/>
  <c r="CN5" i="16" s="1"/>
  <c r="CO5" i="16" s="1"/>
  <c r="CP5" i="16" s="1"/>
  <c r="CQ5" i="16" s="1"/>
  <c r="CR5" i="16"/>
  <c r="AB13" i="16"/>
  <c r="AA11" i="16"/>
  <c r="AB7" i="16"/>
  <c r="AB6" i="16"/>
  <c r="M53" i="2"/>
  <c r="M51" i="2" s="1"/>
  <c r="O19" i="16"/>
  <c r="P5" i="16"/>
  <c r="AR4" i="16"/>
  <c r="AS4" i="16"/>
  <c r="S4" i="16"/>
  <c r="AM12" i="16"/>
  <c r="Z9" i="16"/>
  <c r="Z8" i="16"/>
  <c r="BT8" i="16"/>
  <c r="BU8" i="16" s="1"/>
  <c r="BV8" i="16" s="1"/>
  <c r="BW8" i="16" s="1"/>
  <c r="X10" i="16"/>
  <c r="Y94" i="2"/>
  <c r="AD94" i="2" s="1"/>
  <c r="AC96" i="2"/>
  <c r="J305" i="4"/>
  <c r="J307" i="4"/>
  <c r="K303" i="4" s="1"/>
  <c r="I265" i="4"/>
  <c r="J261" i="4" s="1"/>
  <c r="I263" i="4"/>
  <c r="K335" i="4"/>
  <c r="L331" i="4" s="1"/>
  <c r="K333" i="4"/>
  <c r="R220" i="4"/>
  <c r="J293" i="4"/>
  <c r="K289" i="4" s="1"/>
  <c r="J291" i="4"/>
  <c r="K277" i="4"/>
  <c r="K279" i="4"/>
  <c r="L275" i="4" s="1"/>
  <c r="K319" i="4"/>
  <c r="K321" i="4"/>
  <c r="L317" i="4" s="1"/>
  <c r="K349" i="4"/>
  <c r="L345" i="4" s="1"/>
  <c r="K347" i="4"/>
  <c r="U84" i="2" l="1"/>
  <c r="AC16" i="2"/>
  <c r="AB23" i="2"/>
  <c r="AB22" i="2"/>
  <c r="J15" i="4"/>
  <c r="K11" i="4" s="1"/>
  <c r="J13" i="4"/>
  <c r="BE40" i="2"/>
  <c r="BA38" i="2"/>
  <c r="AC45" i="4"/>
  <c r="AD41" i="4" s="1"/>
  <c r="AD43" i="4" s="1"/>
  <c r="AK119" i="2" s="1"/>
  <c r="BA36" i="2"/>
  <c r="BB36" i="2" s="1"/>
  <c r="BG38" i="2"/>
  <c r="BH38" i="2" s="1"/>
  <c r="BI38" i="2" s="1"/>
  <c r="BJ38" i="2" s="1"/>
  <c r="BK38" i="2" s="1"/>
  <c r="BL38" i="2" s="1"/>
  <c r="BM38" i="2" s="1"/>
  <c r="O183" i="2"/>
  <c r="O182" i="2"/>
  <c r="AA30" i="2"/>
  <c r="AK32" i="2"/>
  <c r="AL32" i="2" s="1"/>
  <c r="AM32" i="2" s="1"/>
  <c r="AN32" i="2" s="1"/>
  <c r="AO32" i="2" s="1"/>
  <c r="AK34" i="2"/>
  <c r="AL34" i="2" s="1"/>
  <c r="AM34" i="2" s="1"/>
  <c r="CH44" i="2"/>
  <c r="AH26" i="2"/>
  <c r="V96" i="2"/>
  <c r="U24" i="2"/>
  <c r="AD132" i="4"/>
  <c r="AE128" i="4" s="1"/>
  <c r="AE130" i="4" s="1"/>
  <c r="AS131" i="2" s="1"/>
  <c r="AR132" i="2"/>
  <c r="X25" i="2"/>
  <c r="K55" i="18"/>
  <c r="K56" i="18" s="1"/>
  <c r="K57" i="18" s="1"/>
  <c r="L53" i="18" s="1"/>
  <c r="V24" i="2"/>
  <c r="W25" i="2"/>
  <c r="CQ30" i="2"/>
  <c r="AW129" i="4"/>
  <c r="BR41" i="2"/>
  <c r="BS41" i="2" s="1"/>
  <c r="BQ41" i="2"/>
  <c r="J249" i="4"/>
  <c r="J251" i="4"/>
  <c r="K247" i="4" s="1"/>
  <c r="AE28" i="2"/>
  <c r="AF28" i="2" s="1"/>
  <c r="AG28" i="2" s="1"/>
  <c r="AH28" i="2" s="1"/>
  <c r="AI28" i="2" s="1"/>
  <c r="AJ28" i="2" s="1"/>
  <c r="W96" i="2"/>
  <c r="H191" i="4"/>
  <c r="H189" i="4"/>
  <c r="I161" i="4"/>
  <c r="J157" i="4" s="1"/>
  <c r="I159" i="4"/>
  <c r="AA97" i="2"/>
  <c r="AG102" i="2"/>
  <c r="H85" i="4"/>
  <c r="X236" i="4"/>
  <c r="Y232" i="4" s="1"/>
  <c r="X234" i="4"/>
  <c r="AM27" i="2"/>
  <c r="AN27" i="2" s="1"/>
  <c r="AG55" i="2"/>
  <c r="AH23" i="17"/>
  <c r="BU37" i="2"/>
  <c r="BV37" i="2" s="1"/>
  <c r="BW37" i="2" s="1"/>
  <c r="BX37" i="2" s="1"/>
  <c r="BY37" i="2" s="1"/>
  <c r="BZ37" i="2" s="1"/>
  <c r="CA37" i="2" s="1"/>
  <c r="CB37" i="2" s="1"/>
  <c r="CC37" i="2" s="1"/>
  <c r="K13" i="18"/>
  <c r="K14" i="18" s="1"/>
  <c r="K15" i="18" s="1"/>
  <c r="L11" i="18" s="1"/>
  <c r="X26" i="17"/>
  <c r="W54" i="2" s="1"/>
  <c r="L41" i="18"/>
  <c r="L42" i="18" s="1"/>
  <c r="L43" i="18" s="1"/>
  <c r="M39" i="18" s="1"/>
  <c r="K27" i="18"/>
  <c r="K28" i="18" s="1"/>
  <c r="K29" i="18" s="1"/>
  <c r="L25" i="18" s="1"/>
  <c r="L204" i="4"/>
  <c r="L206" i="4"/>
  <c r="M202" i="4" s="1"/>
  <c r="AW29" i="2"/>
  <c r="AW31" i="2"/>
  <c r="AW33" i="2"/>
  <c r="BH39" i="2"/>
  <c r="CI45" i="2"/>
  <c r="BT43" i="2"/>
  <c r="BX8" i="16"/>
  <c r="BY8" i="16" s="1"/>
  <c r="BZ8" i="16" s="1"/>
  <c r="CA8" i="16" s="1"/>
  <c r="CB8" i="16" s="1"/>
  <c r="CC8" i="16" s="1"/>
  <c r="CD8" i="16" s="1"/>
  <c r="CF8" i="16" s="1"/>
  <c r="CE8" i="16"/>
  <c r="AC13" i="16"/>
  <c r="AB11" i="16"/>
  <c r="AC7" i="16"/>
  <c r="AC6" i="16"/>
  <c r="M106" i="2"/>
  <c r="N53" i="2"/>
  <c r="N51" i="2" s="1"/>
  <c r="P19" i="16"/>
  <c r="Q5" i="16"/>
  <c r="AT4" i="16"/>
  <c r="T4" i="16"/>
  <c r="AN12" i="16"/>
  <c r="AA9" i="16"/>
  <c r="AA8" i="16"/>
  <c r="CG8" i="16"/>
  <c r="CH8" i="16" s="1"/>
  <c r="CI8" i="16" s="1"/>
  <c r="CJ8" i="16" s="1"/>
  <c r="Y10" i="16"/>
  <c r="Z95" i="2"/>
  <c r="AD95" i="2" s="1"/>
  <c r="AJ102" i="2"/>
  <c r="BA84" i="2" s="1"/>
  <c r="AE97" i="2"/>
  <c r="AQ97" i="2" s="1"/>
  <c r="K307" i="4"/>
  <c r="L303" i="4" s="1"/>
  <c r="K305" i="4"/>
  <c r="J263" i="4"/>
  <c r="J265" i="4"/>
  <c r="K261" i="4" s="1"/>
  <c r="K291" i="4"/>
  <c r="K293" i="4"/>
  <c r="L289" i="4" s="1"/>
  <c r="R221" i="4"/>
  <c r="S217" i="4" s="1"/>
  <c r="L333" i="4"/>
  <c r="L335" i="4"/>
  <c r="M331" i="4" s="1"/>
  <c r="L277" i="4"/>
  <c r="L279" i="4"/>
  <c r="M275" i="4" s="1"/>
  <c r="L319" i="4"/>
  <c r="L321" i="4"/>
  <c r="M317" i="4" s="1"/>
  <c r="L349" i="4"/>
  <c r="M345" i="4" s="1"/>
  <c r="L347" i="4"/>
  <c r="V84" i="2" l="1"/>
  <c r="AC23" i="2"/>
  <c r="AE16" i="2"/>
  <c r="AD16" i="2"/>
  <c r="AC22" i="2"/>
  <c r="K15" i="4"/>
  <c r="L11" i="4" s="1"/>
  <c r="K13" i="4"/>
  <c r="BB38" i="2"/>
  <c r="BD38" i="2" s="1"/>
  <c r="BI42" i="2"/>
  <c r="BF40" i="2"/>
  <c r="AD44" i="4"/>
  <c r="AD45" i="4" s="1"/>
  <c r="AE41" i="4" s="1"/>
  <c r="AE43" i="4" s="1"/>
  <c r="BN38" i="2"/>
  <c r="BR40" i="2"/>
  <c r="AE131" i="4"/>
  <c r="P183" i="2"/>
  <c r="P182" i="2"/>
  <c r="AN34" i="2"/>
  <c r="AB30" i="2"/>
  <c r="AP32" i="2"/>
  <c r="AI26" i="2"/>
  <c r="CI44" i="2"/>
  <c r="W97" i="2"/>
  <c r="AB102" i="2"/>
  <c r="Z25" i="2"/>
  <c r="Y25" i="2"/>
  <c r="L55" i="18"/>
  <c r="L56" i="18" s="1"/>
  <c r="L57" i="18" s="1"/>
  <c r="M53" i="18" s="1"/>
  <c r="X24" i="2"/>
  <c r="W24" i="2"/>
  <c r="AK163" i="2"/>
  <c r="AX129" i="4"/>
  <c r="K249" i="4"/>
  <c r="K251" i="4"/>
  <c r="L247" i="4" s="1"/>
  <c r="AC102" i="2"/>
  <c r="X97" i="2"/>
  <c r="I187" i="4"/>
  <c r="J159" i="4"/>
  <c r="J161" i="4"/>
  <c r="K157" i="4" s="1"/>
  <c r="AB98" i="2"/>
  <c r="AH103" i="2"/>
  <c r="H87" i="4"/>
  <c r="H89" i="4"/>
  <c r="I85" i="4" s="1"/>
  <c r="AO27" i="2"/>
  <c r="AP27" i="2" s="1"/>
  <c r="Y236" i="4"/>
  <c r="Y234" i="4"/>
  <c r="CE37" i="2"/>
  <c r="CF37" i="2" s="1"/>
  <c r="CG37" i="2" s="1"/>
  <c r="CD37" i="2"/>
  <c r="AH55" i="2"/>
  <c r="AI23" i="17"/>
  <c r="L13" i="18"/>
  <c r="L14" i="18" s="1"/>
  <c r="L15" i="18" s="1"/>
  <c r="M11" i="18" s="1"/>
  <c r="Y26" i="17"/>
  <c r="X54" i="2" s="1"/>
  <c r="M41" i="18"/>
  <c r="M42" i="18" s="1"/>
  <c r="M43" i="18" s="1"/>
  <c r="N39" i="18" s="1"/>
  <c r="L27" i="18"/>
  <c r="L28" i="18" s="1"/>
  <c r="L29" i="18" s="1"/>
  <c r="M25" i="18" s="1"/>
  <c r="M204" i="4"/>
  <c r="M206" i="4"/>
  <c r="AK28" i="2"/>
  <c r="AX29" i="2"/>
  <c r="AX31" i="2"/>
  <c r="AX33" i="2"/>
  <c r="BI39" i="2"/>
  <c r="CJ45" i="2"/>
  <c r="BU43" i="2"/>
  <c r="AD13" i="16"/>
  <c r="AE13" i="16" s="1"/>
  <c r="D13" i="16" s="1"/>
  <c r="AC11" i="16"/>
  <c r="AD7" i="16"/>
  <c r="AE7" i="16" s="1"/>
  <c r="AD6" i="16"/>
  <c r="AE6" i="16" s="1"/>
  <c r="D6" i="16" s="1"/>
  <c r="O53" i="2"/>
  <c r="O51" i="2" s="1"/>
  <c r="O106" i="2" s="1"/>
  <c r="R5" i="16"/>
  <c r="Q19" i="16"/>
  <c r="S5" i="16"/>
  <c r="AU4" i="16"/>
  <c r="U4" i="16"/>
  <c r="AO12" i="16"/>
  <c r="AB9" i="16"/>
  <c r="AB8" i="16"/>
  <c r="Z10" i="16"/>
  <c r="N106" i="2"/>
  <c r="CK8" i="16"/>
  <c r="CL8" i="16" s="1"/>
  <c r="CM8" i="16" s="1"/>
  <c r="CN8" i="16" s="1"/>
  <c r="CO8" i="16" s="1"/>
  <c r="CP8" i="16" s="1"/>
  <c r="CQ8" i="16" s="1"/>
  <c r="CR8" i="16"/>
  <c r="AA96" i="2"/>
  <c r="AD96" i="2" s="1"/>
  <c r="AK103" i="2"/>
  <c r="AF98" i="2"/>
  <c r="AQ98" i="2" s="1"/>
  <c r="K265" i="4"/>
  <c r="L261" i="4" s="1"/>
  <c r="K263" i="4"/>
  <c r="L305" i="4"/>
  <c r="L307" i="4"/>
  <c r="M303" i="4" s="1"/>
  <c r="M305" i="4" s="1"/>
  <c r="M306" i="4" s="1"/>
  <c r="M307" i="4" s="1"/>
  <c r="N303" i="4" s="1"/>
  <c r="N305" i="4" s="1"/>
  <c r="N306" i="4" s="1"/>
  <c r="N307" i="4" s="1"/>
  <c r="O303" i="4" s="1"/>
  <c r="S219" i="4"/>
  <c r="L291" i="4"/>
  <c r="L293" i="4"/>
  <c r="M289" i="4" s="1"/>
  <c r="M333" i="4"/>
  <c r="M334" i="4" s="1"/>
  <c r="M335" i="4" s="1"/>
  <c r="N331" i="4" s="1"/>
  <c r="M277" i="4"/>
  <c r="M319" i="4"/>
  <c r="M320" i="4" s="1"/>
  <c r="M321" i="4" s="1"/>
  <c r="N317" i="4" s="1"/>
  <c r="M347" i="4"/>
  <c r="M348" i="4" s="1"/>
  <c r="AD102" i="2" l="1"/>
  <c r="W84" i="2"/>
  <c r="AF16" i="2"/>
  <c r="AE23" i="2"/>
  <c r="AE22" i="2"/>
  <c r="C96" i="2"/>
  <c r="BF84" i="2"/>
  <c r="BQ84" i="2" s="1"/>
  <c r="AL104" i="2"/>
  <c r="L15" i="4"/>
  <c r="M11" i="4" s="1"/>
  <c r="L13" i="4"/>
  <c r="BJ42" i="2"/>
  <c r="BG40" i="2"/>
  <c r="BH40" i="2" s="1"/>
  <c r="AK120" i="2"/>
  <c r="AS132" i="2"/>
  <c r="AE132" i="4"/>
  <c r="AF128" i="4" s="1"/>
  <c r="AF130" i="4" s="1"/>
  <c r="AT131" i="2" s="1"/>
  <c r="AL119" i="2"/>
  <c r="BV42" i="2"/>
  <c r="BW42" i="2" s="1"/>
  <c r="BX42" i="2" s="1"/>
  <c r="BY42" i="2" s="1"/>
  <c r="BZ42" i="2" s="1"/>
  <c r="CA42" i="2" s="1"/>
  <c r="CB42" i="2" s="1"/>
  <c r="CC42" i="2" s="1"/>
  <c r="CE42" i="2" s="1"/>
  <c r="BS40" i="2"/>
  <c r="BO38" i="2"/>
  <c r="AC30" i="2"/>
  <c r="AD30" i="2" s="1"/>
  <c r="AR32" i="2"/>
  <c r="AS32" i="2" s="1"/>
  <c r="AT32" i="2" s="1"/>
  <c r="AU32" i="2" s="1"/>
  <c r="AV32" i="2" s="1"/>
  <c r="AW32" i="2" s="1"/>
  <c r="AX32" i="2" s="1"/>
  <c r="AQ32" i="2"/>
  <c r="AO34" i="2"/>
  <c r="CJ44" i="2"/>
  <c r="AJ26" i="2"/>
  <c r="AC103" i="2"/>
  <c r="X98" i="2"/>
  <c r="AE44" i="4"/>
  <c r="Z24" i="2"/>
  <c r="AB25" i="2"/>
  <c r="AA25" i="2"/>
  <c r="Y24" i="2"/>
  <c r="M55" i="18"/>
  <c r="M56" i="18" s="1"/>
  <c r="M57" i="18" s="1"/>
  <c r="N53" i="18" s="1"/>
  <c r="AY129" i="4"/>
  <c r="AE103" i="2"/>
  <c r="L249" i="4"/>
  <c r="L251" i="4"/>
  <c r="M247" i="4" s="1"/>
  <c r="Y98" i="2"/>
  <c r="I191" i="4"/>
  <c r="J187" i="4" s="1"/>
  <c r="I189" i="4"/>
  <c r="K159" i="4"/>
  <c r="K161" i="4"/>
  <c r="AC99" i="2"/>
  <c r="AI104" i="2"/>
  <c r="AR27" i="2"/>
  <c r="AS27" i="2" s="1"/>
  <c r="AT27" i="2" s="1"/>
  <c r="AU27" i="2" s="1"/>
  <c r="AV27" i="2" s="1"/>
  <c r="AQ27" i="2"/>
  <c r="I89" i="4"/>
  <c r="J85" i="4" s="1"/>
  <c r="I87" i="4"/>
  <c r="Z234" i="4"/>
  <c r="AI55" i="2"/>
  <c r="AJ23" i="17"/>
  <c r="M13" i="18"/>
  <c r="M14" i="18" s="1"/>
  <c r="M15" i="18" s="1"/>
  <c r="N11" i="18" s="1"/>
  <c r="Z26" i="17"/>
  <c r="Y54" i="2" s="1"/>
  <c r="N41" i="18"/>
  <c r="N42" i="18" s="1"/>
  <c r="N43" i="18" s="1"/>
  <c r="O39" i="18" s="1"/>
  <c r="M27" i="18"/>
  <c r="M28" i="18" s="1"/>
  <c r="M29" i="18" s="1"/>
  <c r="N25" i="18" s="1"/>
  <c r="N202" i="4"/>
  <c r="AL28" i="2"/>
  <c r="AY29" i="2"/>
  <c r="AY31" i="2"/>
  <c r="AY33" i="2"/>
  <c r="BC35" i="2"/>
  <c r="BJ39" i="2"/>
  <c r="CK45" i="2"/>
  <c r="BV43" i="2"/>
  <c r="CH37" i="2"/>
  <c r="AD11" i="16"/>
  <c r="AE11" i="16" s="1"/>
  <c r="AF7" i="16"/>
  <c r="R19" i="16"/>
  <c r="P53" i="2"/>
  <c r="P51" i="2" s="1"/>
  <c r="S19" i="16"/>
  <c r="T5" i="16"/>
  <c r="AV4" i="16"/>
  <c r="V4" i="16"/>
  <c r="AP12" i="16"/>
  <c r="AC9" i="16"/>
  <c r="AC8" i="16"/>
  <c r="AA10" i="16"/>
  <c r="AH102" i="2"/>
  <c r="AQ102" i="2" s="1"/>
  <c r="AB97" i="2"/>
  <c r="AD97" i="2" s="1"/>
  <c r="AG99" i="2"/>
  <c r="L265" i="4"/>
  <c r="M261" i="4" s="1"/>
  <c r="M263" i="4" s="1"/>
  <c r="M264" i="4" s="1"/>
  <c r="M265" i="4" s="1"/>
  <c r="N261" i="4" s="1"/>
  <c r="N263" i="4" s="1"/>
  <c r="L263" i="4"/>
  <c r="N333" i="4"/>
  <c r="N334" i="4" s="1"/>
  <c r="M291" i="4"/>
  <c r="S220" i="4"/>
  <c r="O305" i="4"/>
  <c r="O306" i="4" s="1"/>
  <c r="O307" i="4" s="1"/>
  <c r="P303" i="4" s="1"/>
  <c r="M278" i="4"/>
  <c r="N319" i="4"/>
  <c r="N320" i="4" s="1"/>
  <c r="N321" i="4" s="1"/>
  <c r="O317" i="4" s="1"/>
  <c r="M349" i="4"/>
  <c r="N345" i="4" s="1"/>
  <c r="C102" i="2" l="1"/>
  <c r="X84" i="2"/>
  <c r="AD103" i="2"/>
  <c r="AF104" i="2"/>
  <c r="AG16" i="2"/>
  <c r="AF23" i="2"/>
  <c r="AF22" i="2"/>
  <c r="C97" i="2"/>
  <c r="M15" i="4"/>
  <c r="N11" i="4" s="1"/>
  <c r="M13" i="4"/>
  <c r="BK42" i="2"/>
  <c r="BL42" i="2" s="1"/>
  <c r="BM42" i="2" s="1"/>
  <c r="BN42" i="2" s="1"/>
  <c r="BO42" i="2" s="1"/>
  <c r="BP42" i="2" s="1"/>
  <c r="BR42" i="2" s="1"/>
  <c r="BS42" i="2" s="1"/>
  <c r="BI40" i="2"/>
  <c r="BJ40" i="2" s="1"/>
  <c r="BK40" i="2" s="1"/>
  <c r="BL40" i="2" s="1"/>
  <c r="BM40" i="2" s="1"/>
  <c r="BN40" i="2" s="1"/>
  <c r="AF131" i="4"/>
  <c r="AL120" i="2"/>
  <c r="BT40" i="2"/>
  <c r="BU40" i="2" s="1"/>
  <c r="BV40" i="2" s="1"/>
  <c r="BW40" i="2" s="1"/>
  <c r="BX40" i="2" s="1"/>
  <c r="BY40" i="2" s="1"/>
  <c r="BZ40" i="2" s="1"/>
  <c r="CA40" i="2" s="1"/>
  <c r="BP38" i="2"/>
  <c r="CF42" i="2"/>
  <c r="CG42" i="2" s="1"/>
  <c r="AK26" i="2"/>
  <c r="AE30" i="2"/>
  <c r="AQ30" i="2" s="1"/>
  <c r="AP34" i="2"/>
  <c r="CK44" i="2"/>
  <c r="AY32" i="2"/>
  <c r="BC34" i="2"/>
  <c r="BE34" i="2" s="1"/>
  <c r="AE45" i="4"/>
  <c r="AF41" i="4" s="1"/>
  <c r="AF43" i="4" s="1"/>
  <c r="AM119" i="2" s="1"/>
  <c r="Y99" i="2"/>
  <c r="AD99" i="2" s="1"/>
  <c r="AE104" i="2"/>
  <c r="N55" i="18"/>
  <c r="N56" i="18" s="1"/>
  <c r="N57" i="18" s="1"/>
  <c r="O53" i="18" s="1"/>
  <c r="AA24" i="2"/>
  <c r="AB24" i="2"/>
  <c r="AC25" i="2"/>
  <c r="AL163" i="2"/>
  <c r="AZ129" i="4"/>
  <c r="N335" i="4"/>
  <c r="O331" i="4" s="1"/>
  <c r="N264" i="4"/>
  <c r="M249" i="4"/>
  <c r="M251" i="4"/>
  <c r="N247" i="4" s="1"/>
  <c r="Z99" i="2"/>
  <c r="J191" i="4"/>
  <c r="K187" i="4" s="1"/>
  <c r="J189" i="4"/>
  <c r="L157" i="4"/>
  <c r="AE100" i="2"/>
  <c r="J87" i="4"/>
  <c r="J89" i="4"/>
  <c r="AJ55" i="2"/>
  <c r="AK23" i="17"/>
  <c r="N13" i="18"/>
  <c r="N14" i="18" s="1"/>
  <c r="N15" i="18" s="1"/>
  <c r="O11" i="18" s="1"/>
  <c r="AE22" i="17"/>
  <c r="AA26" i="17"/>
  <c r="Z54" i="2" s="1"/>
  <c r="O41" i="18"/>
  <c r="O42" i="18" s="1"/>
  <c r="O43" i="18" s="1"/>
  <c r="P39" i="18" s="1"/>
  <c r="N27" i="18"/>
  <c r="N28" i="18" s="1"/>
  <c r="N29" i="18" s="1"/>
  <c r="O25" i="18" s="1"/>
  <c r="N204" i="4"/>
  <c r="N206" i="4"/>
  <c r="O202" i="4" s="1"/>
  <c r="AM28" i="2"/>
  <c r="AZ29" i="2"/>
  <c r="AZ31" i="2"/>
  <c r="AZ33" i="2"/>
  <c r="BD35" i="2"/>
  <c r="BE35" i="2"/>
  <c r="BK39" i="2"/>
  <c r="CL45" i="2"/>
  <c r="AW27" i="2"/>
  <c r="BW43" i="2"/>
  <c r="CI37" i="2"/>
  <c r="AF11" i="16"/>
  <c r="AG7" i="16"/>
  <c r="Q53" i="2"/>
  <c r="P106" i="2"/>
  <c r="R53" i="2"/>
  <c r="R51" i="2" s="1"/>
  <c r="R106" i="2" s="1"/>
  <c r="T19" i="16"/>
  <c r="U5" i="16"/>
  <c r="AW4" i="16"/>
  <c r="W4" i="16"/>
  <c r="AQ12" i="16"/>
  <c r="AR12" i="16" s="1"/>
  <c r="AD9" i="16"/>
  <c r="AE9" i="16" s="1"/>
  <c r="AD8" i="16"/>
  <c r="AE8" i="16" s="1"/>
  <c r="AB10" i="16"/>
  <c r="AI103" i="2"/>
  <c r="AQ103" i="2" s="1"/>
  <c r="AC98" i="2"/>
  <c r="AD98" i="2" s="1"/>
  <c r="AH100" i="2"/>
  <c r="M292" i="4"/>
  <c r="S221" i="4"/>
  <c r="T217" i="4" s="1"/>
  <c r="P305" i="4"/>
  <c r="P306" i="4" s="1"/>
  <c r="P307" i="4" s="1"/>
  <c r="Q303" i="4" s="1"/>
  <c r="Q305" i="4" s="1"/>
  <c r="Q306" i="4" s="1"/>
  <c r="Q307" i="4" s="1"/>
  <c r="R303" i="4" s="1"/>
  <c r="R305" i="4" s="1"/>
  <c r="R306" i="4" s="1"/>
  <c r="R307" i="4" s="1"/>
  <c r="S303" i="4" s="1"/>
  <c r="S305" i="4" s="1"/>
  <c r="S306" i="4" s="1"/>
  <c r="S307" i="4" s="1"/>
  <c r="T303" i="4" s="1"/>
  <c r="T305" i="4" s="1"/>
  <c r="T306" i="4" s="1"/>
  <c r="T307" i="4" s="1"/>
  <c r="U303" i="4" s="1"/>
  <c r="U305" i="4" s="1"/>
  <c r="U306" i="4" s="1"/>
  <c r="U307" i="4" s="1"/>
  <c r="V303" i="4" s="1"/>
  <c r="V305" i="4" s="1"/>
  <c r="V306" i="4" s="1"/>
  <c r="V307" i="4" s="1"/>
  <c r="W303" i="4" s="1"/>
  <c r="W305" i="4" s="1"/>
  <c r="W306" i="4" s="1"/>
  <c r="W307" i="4" s="1"/>
  <c r="X303" i="4" s="1"/>
  <c r="X305" i="4" s="1"/>
  <c r="X306" i="4" s="1"/>
  <c r="X307" i="4" s="1"/>
  <c r="Y303" i="4" s="1"/>
  <c r="Y305" i="4" s="1"/>
  <c r="Y306" i="4" s="1"/>
  <c r="Y307" i="4" s="1"/>
  <c r="M279" i="4"/>
  <c r="N275" i="4" s="1"/>
  <c r="O319" i="4"/>
  <c r="O320" i="4" s="1"/>
  <c r="O321" i="4" s="1"/>
  <c r="P317" i="4" s="1"/>
  <c r="N347" i="4"/>
  <c r="N348" i="4" s="1"/>
  <c r="C103" i="2" l="1"/>
  <c r="Y84" i="2"/>
  <c r="AH16" i="2"/>
  <c r="AG23" i="2"/>
  <c r="AG22" i="2"/>
  <c r="N15" i="4"/>
  <c r="O11" i="4" s="1"/>
  <c r="N13" i="4"/>
  <c r="AX84" i="2"/>
  <c r="BQ42" i="2"/>
  <c r="AF132" i="4"/>
  <c r="AG128" i="4" s="1"/>
  <c r="AG130" i="4" s="1"/>
  <c r="AU131" i="2" s="1"/>
  <c r="AT132" i="2"/>
  <c r="AF44" i="4"/>
  <c r="AM120" i="2" s="1"/>
  <c r="CH42" i="2"/>
  <c r="BR38" i="2"/>
  <c r="BS38" i="2" s="1"/>
  <c r="BQ38" i="2"/>
  <c r="CB40" i="2"/>
  <c r="AR34" i="2"/>
  <c r="AS34" i="2" s="1"/>
  <c r="AT34" i="2" s="1"/>
  <c r="AU34" i="2" s="1"/>
  <c r="AV34" i="2" s="1"/>
  <c r="AW34" i="2" s="1"/>
  <c r="AX34" i="2" s="1"/>
  <c r="AQ34" i="2"/>
  <c r="CL44" i="2"/>
  <c r="AZ32" i="2"/>
  <c r="AL26" i="2"/>
  <c r="C30" i="2"/>
  <c r="BF34" i="2"/>
  <c r="Z100" i="2"/>
  <c r="AD100" i="2" s="1"/>
  <c r="O55" i="18"/>
  <c r="O56" i="18" s="1"/>
  <c r="O57" i="18" s="1"/>
  <c r="P53" i="18" s="1"/>
  <c r="AE25" i="2"/>
  <c r="AC24" i="2"/>
  <c r="AD25" i="2"/>
  <c r="BA129" i="4"/>
  <c r="O333" i="4"/>
  <c r="O334" i="4" s="1"/>
  <c r="O335" i="4" s="1"/>
  <c r="P331" i="4" s="1"/>
  <c r="N265" i="4"/>
  <c r="O261" i="4" s="1"/>
  <c r="N249" i="4"/>
  <c r="N251" i="4"/>
  <c r="O247" i="4" s="1"/>
  <c r="AA100" i="2"/>
  <c r="K191" i="4"/>
  <c r="K189" i="4"/>
  <c r="L159" i="4"/>
  <c r="L161" i="4"/>
  <c r="M157" i="4" s="1"/>
  <c r="AF101" i="2"/>
  <c r="K85" i="4"/>
  <c r="BO40" i="2"/>
  <c r="BP40" i="2" s="1"/>
  <c r="BQ40" i="2" s="1"/>
  <c r="AK55" i="2"/>
  <c r="AL23" i="17"/>
  <c r="O13" i="18"/>
  <c r="O14" i="18" s="1"/>
  <c r="O15" i="18" s="1"/>
  <c r="P11" i="18" s="1"/>
  <c r="AB26" i="17"/>
  <c r="AA54" i="2" s="1"/>
  <c r="P41" i="18"/>
  <c r="P42" i="18" s="1"/>
  <c r="P43" i="18" s="1"/>
  <c r="Q39" i="18" s="1"/>
  <c r="O27" i="18"/>
  <c r="O28" i="18" s="1"/>
  <c r="O29" i="18" s="1"/>
  <c r="P25" i="18" s="1"/>
  <c r="O204" i="4"/>
  <c r="O206" i="4"/>
  <c r="P202" i="4" s="1"/>
  <c r="AN28" i="2"/>
  <c r="BA29" i="2"/>
  <c r="BA31" i="2"/>
  <c r="BA33" i="2"/>
  <c r="BF35" i="2"/>
  <c r="BL39" i="2"/>
  <c r="CM45" i="2"/>
  <c r="AX27" i="2"/>
  <c r="CJ37" i="2"/>
  <c r="BT42" i="2"/>
  <c r="N349" i="4"/>
  <c r="O345" i="4" s="1"/>
  <c r="O347" i="4" s="1"/>
  <c r="O348" i="4" s="1"/>
  <c r="AG11" i="16"/>
  <c r="AH7" i="16"/>
  <c r="Q51" i="2"/>
  <c r="S53" i="2"/>
  <c r="U19" i="16"/>
  <c r="V5" i="16"/>
  <c r="AX4" i="16"/>
  <c r="X4" i="16"/>
  <c r="AS12" i="16"/>
  <c r="AF9" i="16"/>
  <c r="AC10" i="16"/>
  <c r="D8" i="16"/>
  <c r="AJ104" i="2"/>
  <c r="AQ104" i="2" s="1"/>
  <c r="C104" i="2" s="1"/>
  <c r="AE99" i="2"/>
  <c r="AQ99" i="2" s="1"/>
  <c r="AI101" i="2"/>
  <c r="AY84" i="2" s="1"/>
  <c r="T219" i="4"/>
  <c r="M293" i="4"/>
  <c r="N289" i="4" s="1"/>
  <c r="N277" i="4"/>
  <c r="P319" i="4"/>
  <c r="P320" i="4" s="1"/>
  <c r="P321" i="4" s="1"/>
  <c r="Q317" i="4" s="1"/>
  <c r="Z84" i="2" l="1"/>
  <c r="AI16" i="2"/>
  <c r="AH23" i="2"/>
  <c r="AH22" i="2"/>
  <c r="AM84" i="2"/>
  <c r="AI84" i="2"/>
  <c r="AE84" i="2"/>
  <c r="O15" i="4"/>
  <c r="P11" i="4" s="1"/>
  <c r="O13" i="4"/>
  <c r="AG131" i="4"/>
  <c r="AU132" i="2" s="1"/>
  <c r="AF45" i="4"/>
  <c r="AG41" i="4" s="1"/>
  <c r="AG43" i="4" s="1"/>
  <c r="CC40" i="2"/>
  <c r="CD40" i="2" s="1"/>
  <c r="AM26" i="2"/>
  <c r="BT38" i="2"/>
  <c r="CM44" i="2"/>
  <c r="BA32" i="2"/>
  <c r="AY34" i="2"/>
  <c r="AZ34" i="2" s="1"/>
  <c r="BC36" i="2"/>
  <c r="BG34" i="2"/>
  <c r="BH34" i="2" s="1"/>
  <c r="BI34" i="2" s="1"/>
  <c r="AA101" i="2"/>
  <c r="P55" i="18"/>
  <c r="P56" i="18" s="1"/>
  <c r="P57" i="18" s="1"/>
  <c r="Q53" i="18" s="1"/>
  <c r="AE24" i="2"/>
  <c r="AF25" i="2"/>
  <c r="AD24" i="2"/>
  <c r="AM163" i="2"/>
  <c r="BB129" i="4"/>
  <c r="P333" i="4"/>
  <c r="P334" i="4" s="1"/>
  <c r="P335" i="4" s="1"/>
  <c r="Q331" i="4" s="1"/>
  <c r="Q333" i="4" s="1"/>
  <c r="Q334" i="4" s="1"/>
  <c r="Q335" i="4" s="1"/>
  <c r="R331" i="4" s="1"/>
  <c r="O263" i="4"/>
  <c r="AB101" i="2"/>
  <c r="AC84" i="2" s="1"/>
  <c r="BC84" i="2"/>
  <c r="O249" i="4"/>
  <c r="O251" i="4"/>
  <c r="P247" i="4" s="1"/>
  <c r="AO84" i="2"/>
  <c r="AT84" i="2"/>
  <c r="AV84" i="2"/>
  <c r="L187" i="4"/>
  <c r="M159" i="4"/>
  <c r="M161" i="4"/>
  <c r="K89" i="4"/>
  <c r="L85" i="4" s="1"/>
  <c r="K87" i="4"/>
  <c r="AL55" i="2"/>
  <c r="AM23" i="17"/>
  <c r="P13" i="18"/>
  <c r="P14" i="18" s="1"/>
  <c r="P15" i="18" s="1"/>
  <c r="Q11" i="18" s="1"/>
  <c r="AC26" i="17"/>
  <c r="AB54" i="2" s="1"/>
  <c r="AE24" i="17"/>
  <c r="AE26" i="17" s="1"/>
  <c r="AD54" i="2" s="1"/>
  <c r="Q41" i="18"/>
  <c r="Q42" i="18" s="1"/>
  <c r="Q43" i="18" s="1"/>
  <c r="R39" i="18" s="1"/>
  <c r="P27" i="18"/>
  <c r="P28" i="18" s="1"/>
  <c r="P29" i="18" s="1"/>
  <c r="Q25" i="18" s="1"/>
  <c r="P204" i="4"/>
  <c r="P206" i="4"/>
  <c r="AO28" i="2"/>
  <c r="BB29" i="2"/>
  <c r="BB31" i="2"/>
  <c r="BB33" i="2"/>
  <c r="BG35" i="2"/>
  <c r="BM39" i="2"/>
  <c r="CN45" i="2"/>
  <c r="AY27" i="2"/>
  <c r="CK37" i="2"/>
  <c r="BU42" i="2"/>
  <c r="CD42" i="2" s="1"/>
  <c r="AH11" i="16"/>
  <c r="AI7" i="16"/>
  <c r="Q106" i="2"/>
  <c r="T53" i="2"/>
  <c r="T51" i="2" s="1"/>
  <c r="V19" i="16"/>
  <c r="W5" i="16"/>
  <c r="AY4" i="16"/>
  <c r="Y4" i="16"/>
  <c r="AT12" i="16"/>
  <c r="AF10" i="16" a="1"/>
  <c r="AF10" i="16" s="1"/>
  <c r="AF19" i="16" s="1"/>
  <c r="AG9" i="16"/>
  <c r="AD10" i="16"/>
  <c r="AE10" i="16" s="1"/>
  <c r="S51" i="2"/>
  <c r="S106" i="2" s="1"/>
  <c r="AP84" i="2"/>
  <c r="AF100" i="2"/>
  <c r="N291" i="4"/>
  <c r="T220" i="4"/>
  <c r="N278" i="4"/>
  <c r="Q319" i="4"/>
  <c r="Q320" i="4" s="1"/>
  <c r="Q321" i="4" s="1"/>
  <c r="R317" i="4" s="1"/>
  <c r="O349" i="4"/>
  <c r="P345" i="4" s="1"/>
  <c r="AJ84" i="2" l="1"/>
  <c r="AQ100" i="2"/>
  <c r="AA84" i="2"/>
  <c r="AD101" i="2"/>
  <c r="AF84" i="2"/>
  <c r="AB84" i="2"/>
  <c r="AD84" i="2" s="1"/>
  <c r="AJ16" i="2"/>
  <c r="AI23" i="2"/>
  <c r="AI22" i="2"/>
  <c r="P15" i="4"/>
  <c r="Q11" i="4" s="1"/>
  <c r="P13" i="4"/>
  <c r="AL84" i="2"/>
  <c r="AG132" i="4"/>
  <c r="AH128" i="4" s="1"/>
  <c r="AH130" i="4" s="1"/>
  <c r="AN119" i="2"/>
  <c r="AG44" i="4"/>
  <c r="BB32" i="2"/>
  <c r="BU38" i="2"/>
  <c r="CN44" i="2"/>
  <c r="AN26" i="2"/>
  <c r="BE36" i="2"/>
  <c r="BF36" i="2" s="1"/>
  <c r="BD36" i="2"/>
  <c r="BJ34" i="2"/>
  <c r="BK34" i="2" s="1"/>
  <c r="BL34" i="2" s="1"/>
  <c r="BM34" i="2" s="1"/>
  <c r="BN34" i="2" s="1"/>
  <c r="BO34" i="2" s="1"/>
  <c r="BP34" i="2" s="1"/>
  <c r="BA34" i="2"/>
  <c r="AR84" i="2"/>
  <c r="Q55" i="18"/>
  <c r="Q56" i="18" s="1"/>
  <c r="Q57" i="18" s="1"/>
  <c r="R53" i="18" s="1"/>
  <c r="AG25" i="2"/>
  <c r="AF24" i="2"/>
  <c r="BC129" i="4"/>
  <c r="R333" i="4"/>
  <c r="R334" i="4" s="1"/>
  <c r="R335" i="4" s="1"/>
  <c r="S331" i="4" s="1"/>
  <c r="S333" i="4" s="1"/>
  <c r="S334" i="4" s="1"/>
  <c r="S335" i="4" s="1"/>
  <c r="T331" i="4" s="1"/>
  <c r="T333" i="4" s="1"/>
  <c r="T334" i="4" s="1"/>
  <c r="T335" i="4" s="1"/>
  <c r="U331" i="4" s="1"/>
  <c r="U333" i="4" s="1"/>
  <c r="U334" i="4" s="1"/>
  <c r="U335" i="4" s="1"/>
  <c r="V331" i="4" s="1"/>
  <c r="V333" i="4" s="1"/>
  <c r="V334" i="4" s="1"/>
  <c r="V335" i="4" s="1"/>
  <c r="W331" i="4" s="1"/>
  <c r="W333" i="4" s="1"/>
  <c r="W334" i="4" s="1"/>
  <c r="W335" i="4" s="1"/>
  <c r="X331" i="4" s="1"/>
  <c r="X333" i="4" s="1"/>
  <c r="X334" i="4" s="1"/>
  <c r="X335" i="4" s="1"/>
  <c r="Y331" i="4" s="1"/>
  <c r="Y333" i="4" s="1"/>
  <c r="Y334" i="4" s="1"/>
  <c r="Y335" i="4" s="1"/>
  <c r="O264" i="4"/>
  <c r="P249" i="4"/>
  <c r="P251" i="4"/>
  <c r="Q247" i="4" s="1"/>
  <c r="N157" i="4"/>
  <c r="L191" i="4"/>
  <c r="M187" i="4" s="1"/>
  <c r="L189" i="4"/>
  <c r="L89" i="4"/>
  <c r="M85" i="4" s="1"/>
  <c r="L87" i="4"/>
  <c r="AM55" i="2"/>
  <c r="AN23" i="17"/>
  <c r="Q13" i="18"/>
  <c r="Q14" i="18" s="1"/>
  <c r="Q15" i="18" s="1"/>
  <c r="R11" i="18" s="1"/>
  <c r="AD26" i="17"/>
  <c r="AC54" i="2" s="1"/>
  <c r="R41" i="18"/>
  <c r="R42" i="18" s="1"/>
  <c r="R43" i="18" s="1"/>
  <c r="S39" i="18" s="1"/>
  <c r="Q27" i="18"/>
  <c r="Q28" i="18" s="1"/>
  <c r="Q29" i="18" s="1"/>
  <c r="R25" i="18" s="1"/>
  <c r="Q202" i="4"/>
  <c r="AP28" i="2"/>
  <c r="AQ28" i="2" s="1"/>
  <c r="BC29" i="2"/>
  <c r="BD29" i="2" s="1"/>
  <c r="BC31" i="2"/>
  <c r="BD31" i="2" s="1"/>
  <c r="BC33" i="2"/>
  <c r="BD33" i="2" s="1"/>
  <c r="BH35" i="2"/>
  <c r="BN39" i="2"/>
  <c r="CO45" i="2"/>
  <c r="AZ27" i="2"/>
  <c r="CL37" i="2"/>
  <c r="AI11" i="16"/>
  <c r="AJ7" i="16"/>
  <c r="U53" i="2"/>
  <c r="W19" i="16"/>
  <c r="X5" i="16"/>
  <c r="AZ4" i="16"/>
  <c r="Z4" i="16"/>
  <c r="AU12" i="16"/>
  <c r="AG10" i="16"/>
  <c r="AE53" i="2"/>
  <c r="AG19" i="16"/>
  <c r="AH9" i="16"/>
  <c r="T106" i="2"/>
  <c r="AS84" i="2"/>
  <c r="AG101" i="2"/>
  <c r="T221" i="4"/>
  <c r="U217" i="4" s="1"/>
  <c r="N292" i="4"/>
  <c r="N279" i="4"/>
  <c r="O275" i="4" s="1"/>
  <c r="R319" i="4"/>
  <c r="R320" i="4" s="1"/>
  <c r="R321" i="4" s="1"/>
  <c r="S317" i="4" s="1"/>
  <c r="P347" i="4"/>
  <c r="P348" i="4" s="1"/>
  <c r="AG84" i="2" l="1"/>
  <c r="AQ101" i="2"/>
  <c r="AK84" i="2"/>
  <c r="AH84" i="2"/>
  <c r="AK16" i="2"/>
  <c r="AJ23" i="2"/>
  <c r="AJ22" i="2"/>
  <c r="Q15" i="4"/>
  <c r="R11" i="4" s="1"/>
  <c r="Q13" i="4"/>
  <c r="AN84" i="2"/>
  <c r="AQ84" i="2" s="1"/>
  <c r="AN163" i="2"/>
  <c r="AG45" i="4"/>
  <c r="AH41" i="4" s="1"/>
  <c r="AH43" i="4" s="1"/>
  <c r="AO119" i="2" s="1"/>
  <c r="AN120" i="2"/>
  <c r="AH131" i="4"/>
  <c r="AV131" i="2"/>
  <c r="CO44" i="2"/>
  <c r="BC32" i="2"/>
  <c r="BD32" i="2" s="1"/>
  <c r="BV38" i="2"/>
  <c r="AO26" i="2"/>
  <c r="BG36" i="2"/>
  <c r="BR34" i="2"/>
  <c r="BS34" i="2" s="1"/>
  <c r="BT34" i="2" s="1"/>
  <c r="BQ34" i="2"/>
  <c r="BB34" i="2"/>
  <c r="R55" i="18"/>
  <c r="R56" i="18" s="1"/>
  <c r="R57" i="18" s="1"/>
  <c r="S53" i="18" s="1"/>
  <c r="AG24" i="2"/>
  <c r="AH25" i="2"/>
  <c r="BD129" i="4"/>
  <c r="O265" i="4"/>
  <c r="P261" i="4" s="1"/>
  <c r="AW84" i="2"/>
  <c r="Q249" i="4"/>
  <c r="Q251" i="4"/>
  <c r="R247" i="4" s="1"/>
  <c r="N161" i="4"/>
  <c r="O157" i="4" s="1"/>
  <c r="N159" i="4"/>
  <c r="M191" i="4"/>
  <c r="M189" i="4"/>
  <c r="M89" i="4"/>
  <c r="M87" i="4"/>
  <c r="AN55" i="2"/>
  <c r="AO23" i="17"/>
  <c r="AD22" i="2"/>
  <c r="R13" i="18"/>
  <c r="R14" i="18" s="1"/>
  <c r="R15" i="18" s="1"/>
  <c r="S11" i="18" s="1"/>
  <c r="AF26" i="17"/>
  <c r="AE54" i="2" s="1"/>
  <c r="S41" i="18"/>
  <c r="S42" i="18" s="1"/>
  <c r="S43" i="18" s="1"/>
  <c r="T39" i="18" s="1"/>
  <c r="R27" i="18"/>
  <c r="R28" i="18" s="1"/>
  <c r="R29" i="18" s="1"/>
  <c r="S25" i="18" s="1"/>
  <c r="Q204" i="4"/>
  <c r="Q206" i="4"/>
  <c r="R202" i="4" s="1"/>
  <c r="AR28" i="2"/>
  <c r="BE29" i="2"/>
  <c r="BE31" i="2"/>
  <c r="BE33" i="2"/>
  <c r="BI35" i="2"/>
  <c r="BO39" i="2"/>
  <c r="CP45" i="2"/>
  <c r="CQ45" i="2" s="1"/>
  <c r="C45" i="2" s="1"/>
  <c r="BA27" i="2"/>
  <c r="CM37" i="2"/>
  <c r="AJ11" i="16"/>
  <c r="AK7" i="16"/>
  <c r="U51" i="2"/>
  <c r="V53" i="2"/>
  <c r="X19" i="16"/>
  <c r="Y5" i="16"/>
  <c r="BA4" i="16"/>
  <c r="AA4" i="16"/>
  <c r="AV12" i="16"/>
  <c r="AF53" i="2"/>
  <c r="AI9" i="16"/>
  <c r="AH10" i="16"/>
  <c r="AR10" i="16"/>
  <c r="AU84" i="2"/>
  <c r="N293" i="4"/>
  <c r="O289" i="4" s="1"/>
  <c r="U219" i="4"/>
  <c r="O277" i="4"/>
  <c r="S319" i="4"/>
  <c r="S320" i="4" s="1"/>
  <c r="S321" i="4" s="1"/>
  <c r="T317" i="4" s="1"/>
  <c r="P349" i="4"/>
  <c r="Q345" i="4" s="1"/>
  <c r="AL16" i="2" l="1"/>
  <c r="AK23" i="2"/>
  <c r="AK22" i="2"/>
  <c r="R15" i="4"/>
  <c r="S11" i="4" s="1"/>
  <c r="R13" i="4"/>
  <c r="AH44" i="4"/>
  <c r="AH45" i="4" s="1"/>
  <c r="AI41" i="4" s="1"/>
  <c r="AI43" i="4" s="1"/>
  <c r="AH132" i="4"/>
  <c r="AI128" i="4" s="1"/>
  <c r="AI130" i="4" s="1"/>
  <c r="AV132" i="2"/>
  <c r="BE32" i="2"/>
  <c r="CP44" i="2"/>
  <c r="CQ44" i="2" s="1"/>
  <c r="C44" i="2" s="1"/>
  <c r="BW38" i="2"/>
  <c r="AP26" i="2"/>
  <c r="AQ26" i="2" s="1"/>
  <c r="BU34" i="2"/>
  <c r="BV34" i="2" s="1"/>
  <c r="BW34" i="2" s="1"/>
  <c r="BX34" i="2" s="1"/>
  <c r="BY34" i="2" s="1"/>
  <c r="BZ34" i="2" s="1"/>
  <c r="CA34" i="2" s="1"/>
  <c r="BH36" i="2"/>
  <c r="BD34" i="2"/>
  <c r="AH24" i="2"/>
  <c r="S55" i="18"/>
  <c r="S56" i="18" s="1"/>
  <c r="S57" i="18" s="1"/>
  <c r="T53" i="18" s="1"/>
  <c r="AI25" i="2"/>
  <c r="AO163" i="2"/>
  <c r="BE129" i="4"/>
  <c r="P263" i="4"/>
  <c r="R249" i="4"/>
  <c r="R251" i="4"/>
  <c r="S247" i="4" s="1"/>
  <c r="O159" i="4"/>
  <c r="O161" i="4"/>
  <c r="P157" i="4" s="1"/>
  <c r="N187" i="4"/>
  <c r="N85" i="4"/>
  <c r="AO55" i="2"/>
  <c r="AP23" i="17"/>
  <c r="S13" i="18"/>
  <c r="S14" i="18" s="1"/>
  <c r="S15" i="18" s="1"/>
  <c r="T11" i="18" s="1"/>
  <c r="AE51" i="2"/>
  <c r="AE106" i="2" s="1"/>
  <c r="AG26" i="17"/>
  <c r="AF54" i="2" s="1"/>
  <c r="T41" i="18"/>
  <c r="T42" i="18" s="1"/>
  <c r="T43" i="18" s="1"/>
  <c r="U39" i="18" s="1"/>
  <c r="S27" i="18"/>
  <c r="S28" i="18" s="1"/>
  <c r="S29" i="18" s="1"/>
  <c r="T25" i="18" s="1"/>
  <c r="R204" i="4"/>
  <c r="R206" i="4"/>
  <c r="S202" i="4" s="1"/>
  <c r="AS28" i="2"/>
  <c r="BF29" i="2"/>
  <c r="BF31" i="2"/>
  <c r="BF33" i="2"/>
  <c r="BJ35" i="2"/>
  <c r="BP39" i="2"/>
  <c r="BQ39" i="2" s="1"/>
  <c r="BT41" i="2"/>
  <c r="BB27" i="2"/>
  <c r="CN37" i="2"/>
  <c r="AI10" i="16"/>
  <c r="AJ10" i="16" s="1"/>
  <c r="AK10" i="16" s="1"/>
  <c r="AL10" i="16" s="1"/>
  <c r="AM10" i="16" s="1"/>
  <c r="AN10" i="16" s="1"/>
  <c r="AO10" i="16" s="1"/>
  <c r="AP10" i="16" s="1"/>
  <c r="AQ10" i="16" s="1"/>
  <c r="AH19" i="16"/>
  <c r="AK11" i="16"/>
  <c r="AL7" i="16"/>
  <c r="U106" i="2"/>
  <c r="W53" i="2"/>
  <c r="W51" i="2" s="1"/>
  <c r="W106" i="2" s="1"/>
  <c r="Y19" i="16"/>
  <c r="Z5" i="16"/>
  <c r="BB4" i="16"/>
  <c r="AB4" i="16"/>
  <c r="AW12" i="16"/>
  <c r="AG53" i="2"/>
  <c r="AI19" i="16"/>
  <c r="AJ9" i="16"/>
  <c r="V51" i="2"/>
  <c r="V106" i="2" s="1"/>
  <c r="BD84" i="2"/>
  <c r="C84" i="2" s="1"/>
  <c r="U220" i="4"/>
  <c r="O291" i="4"/>
  <c r="O278" i="4"/>
  <c r="T319" i="4"/>
  <c r="T320" i="4" s="1"/>
  <c r="T321" i="4" s="1"/>
  <c r="U317" i="4" s="1"/>
  <c r="Q347" i="4"/>
  <c r="Q348" i="4" s="1"/>
  <c r="AM16" i="2" l="1"/>
  <c r="AL23" i="2"/>
  <c r="AL22" i="2"/>
  <c r="S15" i="4"/>
  <c r="T11" i="4" s="1"/>
  <c r="S13" i="4"/>
  <c r="AO120" i="2"/>
  <c r="AP119" i="2"/>
  <c r="AQ119" i="2" s="1"/>
  <c r="BF32" i="2"/>
  <c r="BX38" i="2"/>
  <c r="AR26" i="2"/>
  <c r="CB34" i="2"/>
  <c r="BI36" i="2"/>
  <c r="AI44" i="4"/>
  <c r="T55" i="18"/>
  <c r="T56" i="18" s="1"/>
  <c r="T57" i="18" s="1"/>
  <c r="U53" i="18" s="1"/>
  <c r="AI24" i="2"/>
  <c r="AJ25" i="2"/>
  <c r="BF129" i="4"/>
  <c r="P264" i="4"/>
  <c r="S249" i="4"/>
  <c r="S251" i="4"/>
  <c r="T247" i="4" s="1"/>
  <c r="P159" i="4"/>
  <c r="P161" i="4"/>
  <c r="N191" i="4"/>
  <c r="O187" i="4" s="1"/>
  <c r="N189" i="4"/>
  <c r="N89" i="4"/>
  <c r="O85" i="4" s="1"/>
  <c r="N87" i="4"/>
  <c r="AP55" i="2"/>
  <c r="AQ55" i="2" s="1"/>
  <c r="AQ23" i="17"/>
  <c r="T13" i="18"/>
  <c r="T14" i="18" s="1"/>
  <c r="T15" i="18" s="1"/>
  <c r="U11" i="18" s="1"/>
  <c r="AH26" i="17"/>
  <c r="AG54" i="2" s="1"/>
  <c r="U41" i="18"/>
  <c r="U42" i="18" s="1"/>
  <c r="U43" i="18" s="1"/>
  <c r="V39" i="18" s="1"/>
  <c r="T27" i="18"/>
  <c r="T28" i="18" s="1"/>
  <c r="T29" i="18" s="1"/>
  <c r="U25" i="18" s="1"/>
  <c r="S204" i="4"/>
  <c r="S206" i="4"/>
  <c r="AT28" i="2"/>
  <c r="BG29" i="2"/>
  <c r="BG31" i="2"/>
  <c r="BG33" i="2"/>
  <c r="BK35" i="2"/>
  <c r="BR39" i="2"/>
  <c r="BU41" i="2"/>
  <c r="BV41" i="2" s="1"/>
  <c r="BW41" i="2" s="1"/>
  <c r="BX43" i="2"/>
  <c r="BC27" i="2"/>
  <c r="BD27" i="2" s="1"/>
  <c r="CO37" i="2"/>
  <c r="AF51" i="2"/>
  <c r="AF106" i="2" s="1"/>
  <c r="AL11" i="16"/>
  <c r="AM7" i="16"/>
  <c r="X53" i="2"/>
  <c r="Z19" i="16"/>
  <c r="AA5" i="16"/>
  <c r="BC4" i="16"/>
  <c r="AC4" i="16"/>
  <c r="AX12" i="16"/>
  <c r="AH53" i="2"/>
  <c r="AJ19" i="16"/>
  <c r="AK9" i="16"/>
  <c r="Q349" i="4"/>
  <c r="R345" i="4" s="1"/>
  <c r="O292" i="4"/>
  <c r="U221" i="4"/>
  <c r="V217" i="4" s="1"/>
  <c r="O279" i="4"/>
  <c r="P275" i="4" s="1"/>
  <c r="U319" i="4"/>
  <c r="U320" i="4" s="1"/>
  <c r="U321" i="4" s="1"/>
  <c r="V317" i="4" s="1"/>
  <c r="R347" i="4"/>
  <c r="R348" i="4" s="1"/>
  <c r="AN16" i="2" l="1"/>
  <c r="AM23" i="2"/>
  <c r="AM22" i="2"/>
  <c r="T15" i="4"/>
  <c r="U11" i="4" s="1"/>
  <c r="T13" i="4"/>
  <c r="AP120" i="2"/>
  <c r="AQ120" i="2" s="1"/>
  <c r="AI131" i="4"/>
  <c r="AW131" i="2"/>
  <c r="AI45" i="4"/>
  <c r="AJ41" i="4" s="1"/>
  <c r="AJ43" i="4" s="1"/>
  <c r="BG32" i="2"/>
  <c r="AS26" i="2"/>
  <c r="BY38" i="2"/>
  <c r="CC34" i="2"/>
  <c r="BJ36" i="2"/>
  <c r="AK25" i="2"/>
  <c r="U55" i="18"/>
  <c r="U56" i="18" s="1"/>
  <c r="U57" i="18" s="1"/>
  <c r="V53" i="18" s="1"/>
  <c r="AJ24" i="2"/>
  <c r="BG129" i="4"/>
  <c r="P265" i="4"/>
  <c r="Q261" i="4" s="1"/>
  <c r="T249" i="4"/>
  <c r="T251" i="4"/>
  <c r="U247" i="4" s="1"/>
  <c r="Q157" i="4"/>
  <c r="O191" i="4"/>
  <c r="P187" i="4" s="1"/>
  <c r="O189" i="4"/>
  <c r="O89" i="4"/>
  <c r="P85" i="4" s="1"/>
  <c r="O87" i="4"/>
  <c r="L22" i="7"/>
  <c r="M22" i="7" s="1"/>
  <c r="L24" i="7"/>
  <c r="M24" i="7" s="1"/>
  <c r="L25" i="7"/>
  <c r="M25" i="7" s="1"/>
  <c r="L26" i="7"/>
  <c r="M26" i="7" s="1"/>
  <c r="L27" i="7"/>
  <c r="M27" i="7" s="1"/>
  <c r="L29" i="7"/>
  <c r="M29" i="7" s="1"/>
  <c r="L32" i="7"/>
  <c r="M32" i="7" s="1"/>
  <c r="L34" i="7"/>
  <c r="M34" i="7" s="1"/>
  <c r="L36" i="7"/>
  <c r="M36" i="7" s="1"/>
  <c r="L37" i="7"/>
  <c r="M37" i="7" s="1"/>
  <c r="L39" i="7"/>
  <c r="M39" i="7" s="1"/>
  <c r="L21" i="7"/>
  <c r="M21" i="7" s="1"/>
  <c r="L30" i="7"/>
  <c r="M30" i="7" s="1"/>
  <c r="L23" i="7"/>
  <c r="M23" i="7" s="1"/>
  <c r="L28" i="7"/>
  <c r="M28" i="7" s="1"/>
  <c r="L31" i="7"/>
  <c r="M31" i="7" s="1"/>
  <c r="L33" i="7"/>
  <c r="M33" i="7" s="1"/>
  <c r="L35" i="7"/>
  <c r="M35" i="7" s="1"/>
  <c r="L38" i="7"/>
  <c r="M38" i="7" s="1"/>
  <c r="L20" i="7"/>
  <c r="AR55" i="2"/>
  <c r="AS23" i="17"/>
  <c r="U13" i="18"/>
  <c r="U14" i="18" s="1"/>
  <c r="U15" i="18" s="1"/>
  <c r="V11" i="18" s="1"/>
  <c r="AI26" i="17"/>
  <c r="AH54" i="2" s="1"/>
  <c r="AH51" i="2" s="1"/>
  <c r="AH106" i="2" s="1"/>
  <c r="V41" i="18"/>
  <c r="V42" i="18" s="1"/>
  <c r="V43" i="18" s="1"/>
  <c r="W39" i="18" s="1"/>
  <c r="U27" i="18"/>
  <c r="U28" i="18" s="1"/>
  <c r="U29" i="18" s="1"/>
  <c r="V25" i="18" s="1"/>
  <c r="T202" i="4"/>
  <c r="AU28" i="2"/>
  <c r="BH29" i="2"/>
  <c r="BH31" i="2"/>
  <c r="BH33" i="2"/>
  <c r="BL35" i="2"/>
  <c r="BS39" i="2"/>
  <c r="BY43" i="2"/>
  <c r="BE27" i="2"/>
  <c r="CP37" i="2"/>
  <c r="CQ37" i="2" s="1"/>
  <c r="C37" i="2" s="1"/>
  <c r="AG51" i="2"/>
  <c r="AG106" i="2" s="1"/>
  <c r="BX41" i="2"/>
  <c r="BY41" i="2" s="1"/>
  <c r="BZ41" i="2" s="1"/>
  <c r="CA41" i="2" s="1"/>
  <c r="CB41" i="2" s="1"/>
  <c r="AM11" i="16"/>
  <c r="AN7" i="16"/>
  <c r="X51" i="2"/>
  <c r="Y53" i="2"/>
  <c r="AA19" i="16"/>
  <c r="AB5" i="16"/>
  <c r="BD4" i="16"/>
  <c r="BE4" i="16" s="1"/>
  <c r="AD4" i="16"/>
  <c r="AE4" i="16" s="1"/>
  <c r="AY12" i="16"/>
  <c r="AI53" i="2"/>
  <c r="AK19" i="16"/>
  <c r="AL9" i="16"/>
  <c r="V219" i="4"/>
  <c r="O293" i="4"/>
  <c r="P289" i="4" s="1"/>
  <c r="P277" i="4"/>
  <c r="V319" i="4"/>
  <c r="V320" i="4" s="1"/>
  <c r="V321" i="4" s="1"/>
  <c r="W317" i="4" s="1"/>
  <c r="R349" i="4"/>
  <c r="S345" i="4" s="1"/>
  <c r="AO16" i="2" l="1"/>
  <c r="AN23" i="2"/>
  <c r="AN22" i="2"/>
  <c r="M20" i="7"/>
  <c r="U15" i="4"/>
  <c r="V11" i="4" s="1"/>
  <c r="U13" i="4"/>
  <c r="AQ167" i="2"/>
  <c r="AI132" i="4"/>
  <c r="AJ128" i="4" s="1"/>
  <c r="AJ130" i="4" s="1"/>
  <c r="AW132" i="2"/>
  <c r="AJ44" i="4"/>
  <c r="AR119" i="2"/>
  <c r="BH32" i="2"/>
  <c r="AT26" i="2"/>
  <c r="BZ38" i="2"/>
  <c r="CE34" i="2"/>
  <c r="CF34" i="2" s="1"/>
  <c r="CG34" i="2" s="1"/>
  <c r="CH34" i="2" s="1"/>
  <c r="CI34" i="2" s="1"/>
  <c r="CJ34" i="2" s="1"/>
  <c r="CK34" i="2" s="1"/>
  <c r="CL34" i="2" s="1"/>
  <c r="CM34" i="2" s="1"/>
  <c r="CN34" i="2" s="1"/>
  <c r="CO34" i="2" s="1"/>
  <c r="CP34" i="2" s="1"/>
  <c r="CQ34" i="2" s="1"/>
  <c r="CD34" i="2"/>
  <c r="BK36" i="2"/>
  <c r="AK24" i="2"/>
  <c r="V55" i="18"/>
  <c r="V56" i="18" s="1"/>
  <c r="V57" i="18" s="1"/>
  <c r="W53" i="18" s="1"/>
  <c r="AL25" i="2"/>
  <c r="BH129" i="4"/>
  <c r="Q263" i="4"/>
  <c r="U249" i="4"/>
  <c r="U251" i="4"/>
  <c r="V247" i="4" s="1"/>
  <c r="Q159" i="4"/>
  <c r="Q161" i="4"/>
  <c r="R157" i="4" s="1"/>
  <c r="P191" i="4"/>
  <c r="P189" i="4"/>
  <c r="P87" i="4"/>
  <c r="P89" i="4"/>
  <c r="AS55" i="2"/>
  <c r="AT23" i="17"/>
  <c r="V13" i="18"/>
  <c r="V14" i="18" s="1"/>
  <c r="V15" i="18" s="1"/>
  <c r="W11" i="18" s="1"/>
  <c r="AJ26" i="17"/>
  <c r="AI54" i="2" s="1"/>
  <c r="W41" i="18"/>
  <c r="W42" i="18" s="1"/>
  <c r="W43" i="18" s="1"/>
  <c r="X39" i="18" s="1"/>
  <c r="V27" i="18"/>
  <c r="V28" i="18" s="1"/>
  <c r="V29" i="18" s="1"/>
  <c r="W25" i="18" s="1"/>
  <c r="T204" i="4"/>
  <c r="T206" i="4"/>
  <c r="U202" i="4" s="1"/>
  <c r="AV28" i="2"/>
  <c r="BI29" i="2"/>
  <c r="BI31" i="2"/>
  <c r="BI33" i="2"/>
  <c r="BM35" i="2"/>
  <c r="BT39" i="2"/>
  <c r="BF27" i="2"/>
  <c r="CC41" i="2"/>
  <c r="BZ43" i="2"/>
  <c r="CA43" i="2" s="1"/>
  <c r="AN11" i="16"/>
  <c r="AO7" i="16"/>
  <c r="X106" i="2"/>
  <c r="Z53" i="2"/>
  <c r="Z51" i="2" s="1"/>
  <c r="AB19" i="16"/>
  <c r="AC5" i="16"/>
  <c r="BF4" i="16"/>
  <c r="AZ12" i="16"/>
  <c r="AJ53" i="2"/>
  <c r="AL19" i="16"/>
  <c r="AM9" i="16"/>
  <c r="Y51" i="2"/>
  <c r="Y106" i="2" s="1"/>
  <c r="P291" i="4"/>
  <c r="V220" i="4"/>
  <c r="P278" i="4"/>
  <c r="W319" i="4"/>
  <c r="W320" i="4" s="1"/>
  <c r="W321" i="4" s="1"/>
  <c r="X317" i="4" s="1"/>
  <c r="S347" i="4"/>
  <c r="S348" i="4" s="1"/>
  <c r="AP16" i="2" l="1"/>
  <c r="AO23" i="2"/>
  <c r="AO22" i="2"/>
  <c r="V15" i="4"/>
  <c r="W11" i="4" s="1"/>
  <c r="V13" i="4"/>
  <c r="AI47" i="2"/>
  <c r="AH47" i="2"/>
  <c r="AH108" i="2" s="1"/>
  <c r="C6" i="3" s="1"/>
  <c r="O23" i="2"/>
  <c r="O47" i="2" s="1"/>
  <c r="AA47" i="2"/>
  <c r="AA48" i="2" s="1"/>
  <c r="Z47" i="2"/>
  <c r="Z48" i="2" s="1"/>
  <c r="T47" i="2"/>
  <c r="AG47" i="2"/>
  <c r="P47" i="2"/>
  <c r="S47" i="2"/>
  <c r="AF47" i="2"/>
  <c r="N23" i="2"/>
  <c r="N47" i="2" s="1"/>
  <c r="AC47" i="2"/>
  <c r="AC48" i="2" s="1"/>
  <c r="AB47" i="2"/>
  <c r="AB48" i="2" s="1"/>
  <c r="Y47" i="2"/>
  <c r="Y48" i="2" s="1"/>
  <c r="Y109" i="2" s="1"/>
  <c r="X47" i="2"/>
  <c r="X48" i="2" s="1"/>
  <c r="X109" i="2" s="1"/>
  <c r="W47" i="2"/>
  <c r="V47" i="2"/>
  <c r="U47" i="2"/>
  <c r="K23" i="2"/>
  <c r="L23" i="2"/>
  <c r="L47" i="2" s="1"/>
  <c r="M23" i="2"/>
  <c r="M47" i="2" s="1"/>
  <c r="AJ45" i="4"/>
  <c r="AK41" i="4" s="1"/>
  <c r="AK43" i="4" s="1"/>
  <c r="AS119" i="2" s="1"/>
  <c r="AR120" i="2"/>
  <c r="BI32" i="2"/>
  <c r="AU26" i="2"/>
  <c r="CA38" i="2"/>
  <c r="CE40" i="2"/>
  <c r="BL36" i="2"/>
  <c r="C34" i="2"/>
  <c r="AL24" i="2"/>
  <c r="AM25" i="2"/>
  <c r="W55" i="18"/>
  <c r="W56" i="18" s="1"/>
  <c r="W57" i="18" s="1"/>
  <c r="X53" i="18" s="1"/>
  <c r="AR163" i="2"/>
  <c r="BI129" i="4"/>
  <c r="Q264" i="4"/>
  <c r="V249" i="4"/>
  <c r="V251" i="4"/>
  <c r="W247" i="4" s="1"/>
  <c r="R159" i="4"/>
  <c r="R161" i="4"/>
  <c r="S157" i="4" s="1"/>
  <c r="Q187" i="4"/>
  <c r="Q85" i="4"/>
  <c r="AT55" i="2"/>
  <c r="AU23" i="17"/>
  <c r="CE41" i="2"/>
  <c r="CF41" i="2" s="1"/>
  <c r="CD41" i="2"/>
  <c r="CB43" i="2"/>
  <c r="W13" i="18"/>
  <c r="W14" i="18" s="1"/>
  <c r="W15" i="18" s="1"/>
  <c r="X11" i="18" s="1"/>
  <c r="AI51" i="2"/>
  <c r="AI106" i="2" s="1"/>
  <c r="AK26" i="17"/>
  <c r="AJ54" i="2" s="1"/>
  <c r="X41" i="18"/>
  <c r="X42" i="18" s="1"/>
  <c r="X43" i="18" s="1"/>
  <c r="Y39" i="18" s="1"/>
  <c r="W27" i="18"/>
  <c r="W28" i="18" s="1"/>
  <c r="W29" i="18" s="1"/>
  <c r="X25" i="18" s="1"/>
  <c r="U204" i="4"/>
  <c r="U206" i="4"/>
  <c r="V202" i="4" s="1"/>
  <c r="AW28" i="2"/>
  <c r="BJ29" i="2"/>
  <c r="BJ31" i="2"/>
  <c r="BJ33" i="2"/>
  <c r="BN35" i="2"/>
  <c r="BU39" i="2"/>
  <c r="BG27" i="2"/>
  <c r="AO11" i="16"/>
  <c r="AP7" i="16"/>
  <c r="AA53" i="2"/>
  <c r="AC19" i="16"/>
  <c r="AD5" i="16"/>
  <c r="BG4" i="16"/>
  <c r="BA12" i="16"/>
  <c r="AK53" i="2"/>
  <c r="AM19" i="16"/>
  <c r="AN9" i="16"/>
  <c r="Z106" i="2"/>
  <c r="V221" i="4"/>
  <c r="W217" i="4" s="1"/>
  <c r="P292" i="4"/>
  <c r="P279" i="4"/>
  <c r="Q275" i="4" s="1"/>
  <c r="X319" i="4"/>
  <c r="X320" i="4" s="1"/>
  <c r="X321" i="4" s="1"/>
  <c r="Y317" i="4" s="1"/>
  <c r="S349" i="4"/>
  <c r="T345" i="4" s="1"/>
  <c r="AR16" i="2" l="1"/>
  <c r="AP23" i="2"/>
  <c r="AP22" i="2"/>
  <c r="Y108" i="2"/>
  <c r="U48" i="2"/>
  <c r="U109" i="2" s="1"/>
  <c r="U108" i="2"/>
  <c r="V48" i="2"/>
  <c r="V109" i="2" s="1"/>
  <c r="V108" i="2"/>
  <c r="L48" i="2"/>
  <c r="L109" i="2" s="1"/>
  <c r="L108" i="2"/>
  <c r="K47" i="2"/>
  <c r="Q23" i="2"/>
  <c r="Q47" i="2" s="1"/>
  <c r="AG108" i="2"/>
  <c r="AG48" i="2"/>
  <c r="AG109" i="2" s="1"/>
  <c r="T48" i="2"/>
  <c r="T109" i="2" s="1"/>
  <c r="T108" i="2"/>
  <c r="M48" i="2"/>
  <c r="M109" i="2" s="1"/>
  <c r="M108" i="2"/>
  <c r="AE47" i="2"/>
  <c r="AQ23" i="2"/>
  <c r="W48" i="2"/>
  <c r="W109" i="2" s="1"/>
  <c r="W108" i="2"/>
  <c r="N48" i="2"/>
  <c r="N109" i="2" s="1"/>
  <c r="N108" i="2"/>
  <c r="AD23" i="2"/>
  <c r="AD47" i="2" s="1"/>
  <c r="AD48" i="2" s="1"/>
  <c r="R47" i="2"/>
  <c r="AF108" i="2"/>
  <c r="AF48" i="2"/>
  <c r="AF109" i="2" s="1"/>
  <c r="S48" i="2"/>
  <c r="S109" i="2" s="1"/>
  <c r="S108" i="2"/>
  <c r="AH48" i="2"/>
  <c r="AH109" i="2" s="1"/>
  <c r="P48" i="2"/>
  <c r="P109" i="2" s="1"/>
  <c r="P108" i="2"/>
  <c r="X108" i="2"/>
  <c r="O48" i="2"/>
  <c r="O109" i="2" s="1"/>
  <c r="O108" i="2"/>
  <c r="W15" i="4"/>
  <c r="X11" i="4" s="1"/>
  <c r="W13" i="4"/>
  <c r="AJ131" i="4"/>
  <c r="AX131" i="2"/>
  <c r="AK44" i="4"/>
  <c r="CB38" i="2"/>
  <c r="CI42" i="2"/>
  <c r="CF40" i="2"/>
  <c r="BJ32" i="2"/>
  <c r="AV26" i="2"/>
  <c r="BM36" i="2"/>
  <c r="AM24" i="2"/>
  <c r="AN25" i="2"/>
  <c r="X55" i="18"/>
  <c r="X56" i="18" s="1"/>
  <c r="X57" i="18" s="1"/>
  <c r="Y53" i="18" s="1"/>
  <c r="BJ129" i="4"/>
  <c r="Q265" i="4"/>
  <c r="R261" i="4" s="1"/>
  <c r="W249" i="4"/>
  <c r="W251" i="4"/>
  <c r="X247" i="4" s="1"/>
  <c r="CC43" i="2"/>
  <c r="CE43" i="2" s="1"/>
  <c r="CF43" i="2" s="1"/>
  <c r="CG43" i="2" s="1"/>
  <c r="S159" i="4"/>
  <c r="S161" i="4"/>
  <c r="Q191" i="4"/>
  <c r="R187" i="4" s="1"/>
  <c r="Q189" i="4"/>
  <c r="Q87" i="4"/>
  <c r="Q89" i="4"/>
  <c r="R85" i="4" s="1"/>
  <c r="AU55" i="2"/>
  <c r="AV23" i="17"/>
  <c r="AI108" i="2"/>
  <c r="D6" i="3" s="1"/>
  <c r="AI48" i="2"/>
  <c r="AI109" i="2" s="1"/>
  <c r="AJ47" i="2"/>
  <c r="X13" i="18"/>
  <c r="X14" i="18" s="1"/>
  <c r="X15" i="18" s="1"/>
  <c r="Y11" i="18" s="1"/>
  <c r="AL26" i="17"/>
  <c r="AK54" i="2" s="1"/>
  <c r="AK51" i="2" s="1"/>
  <c r="AK106" i="2" s="1"/>
  <c r="Y41" i="18"/>
  <c r="Y42" i="18" s="1"/>
  <c r="Y43" i="18" s="1"/>
  <c r="Z39" i="18" s="1"/>
  <c r="X27" i="18"/>
  <c r="X28" i="18" s="1"/>
  <c r="X29" i="18" s="1"/>
  <c r="Y25" i="18" s="1"/>
  <c r="V204" i="4"/>
  <c r="V206" i="4"/>
  <c r="AX28" i="2"/>
  <c r="BK29" i="2"/>
  <c r="BK31" i="2"/>
  <c r="BK33" i="2"/>
  <c r="BO35" i="2"/>
  <c r="BV39" i="2"/>
  <c r="BH27" i="2"/>
  <c r="AJ51" i="2"/>
  <c r="AJ106" i="2" s="1"/>
  <c r="AP11" i="16"/>
  <c r="AQ7" i="16"/>
  <c r="AR7" i="16" s="1"/>
  <c r="AA51" i="2"/>
  <c r="AB53" i="2"/>
  <c r="AE5" i="16"/>
  <c r="D5" i="16"/>
  <c r="AD19" i="16"/>
  <c r="AE19" i="16" s="1"/>
  <c r="BH4" i="16"/>
  <c r="BB12" i="16"/>
  <c r="AL53" i="2"/>
  <c r="AN19" i="16"/>
  <c r="AO9" i="16"/>
  <c r="Z109" i="2"/>
  <c r="Z108" i="2"/>
  <c r="P293" i="4"/>
  <c r="Q289" i="4" s="1"/>
  <c r="W219" i="4"/>
  <c r="Q277" i="4"/>
  <c r="Y319" i="4"/>
  <c r="Y320" i="4" s="1"/>
  <c r="Y321" i="4" s="1"/>
  <c r="T347" i="4"/>
  <c r="T348" i="4" s="1"/>
  <c r="AS16" i="2" l="1"/>
  <c r="AR23" i="2"/>
  <c r="AR22" i="2"/>
  <c r="AE108" i="2"/>
  <c r="AE48" i="2"/>
  <c r="AE109" i="2" s="1"/>
  <c r="Q48" i="2"/>
  <c r="Q109" i="2" s="1"/>
  <c r="Q108" i="2"/>
  <c r="K48" i="2"/>
  <c r="K109" i="2" s="1"/>
  <c r="K108" i="2"/>
  <c r="R48" i="2"/>
  <c r="R109" i="2" s="1"/>
  <c r="R108" i="2"/>
  <c r="X15" i="4"/>
  <c r="Y11" i="4" s="1"/>
  <c r="X13" i="4"/>
  <c r="AJ132" i="4"/>
  <c r="AK128" i="4" s="1"/>
  <c r="AK130" i="4" s="1"/>
  <c r="AX132" i="2"/>
  <c r="AS120" i="2"/>
  <c r="AK45" i="4"/>
  <c r="AL41" i="4" s="1"/>
  <c r="AL43" i="4" s="1"/>
  <c r="AW26" i="2"/>
  <c r="CC38" i="2"/>
  <c r="CD38" i="2" s="1"/>
  <c r="CJ42" i="2"/>
  <c r="CG40" i="2"/>
  <c r="BK32" i="2"/>
  <c r="BN36" i="2"/>
  <c r="Y55" i="18"/>
  <c r="Y56" i="18" s="1"/>
  <c r="Y57" i="18" s="1"/>
  <c r="Z53" i="18" s="1"/>
  <c r="AN24" i="2"/>
  <c r="AO25" i="2"/>
  <c r="AS163" i="2"/>
  <c r="BK129" i="4"/>
  <c r="R263" i="4"/>
  <c r="CD43" i="2"/>
  <c r="X249" i="4"/>
  <c r="X251" i="4"/>
  <c r="Y247" i="4" s="1"/>
  <c r="T157" i="4"/>
  <c r="R189" i="4"/>
  <c r="R191" i="4"/>
  <c r="S187" i="4" s="1"/>
  <c r="R89" i="4"/>
  <c r="S85" i="4" s="1"/>
  <c r="R87" i="4"/>
  <c r="AV55" i="2"/>
  <c r="AW23" i="17"/>
  <c r="AJ108" i="2"/>
  <c r="E6" i="3" s="1"/>
  <c r="AJ48" i="2"/>
  <c r="AJ109" i="2" s="1"/>
  <c r="AK47" i="2"/>
  <c r="Y13" i="18"/>
  <c r="Y14" i="18" s="1"/>
  <c r="Y15" i="18" s="1"/>
  <c r="Z11" i="18" s="1"/>
  <c r="AM26" i="17"/>
  <c r="AL54" i="2" s="1"/>
  <c r="Z41" i="18"/>
  <c r="Z42" i="18" s="1"/>
  <c r="Z43" i="18" s="1"/>
  <c r="AA39" i="18" s="1"/>
  <c r="Y27" i="18"/>
  <c r="Y28" i="18" s="1"/>
  <c r="Y29" i="18" s="1"/>
  <c r="Z25" i="18" s="1"/>
  <c r="W202" i="4"/>
  <c r="AY28" i="2"/>
  <c r="BL29" i="2"/>
  <c r="BL31" i="2"/>
  <c r="BL33" i="2"/>
  <c r="BP35" i="2"/>
  <c r="BQ35" i="2" s="1"/>
  <c r="BW39" i="2"/>
  <c r="BI27" i="2"/>
  <c r="CH43" i="2"/>
  <c r="AQ11" i="16"/>
  <c r="AR11" i="16" s="1"/>
  <c r="AS7" i="16"/>
  <c r="AA106" i="2"/>
  <c r="AD53" i="2"/>
  <c r="AD51" i="2" s="1"/>
  <c r="AD106" i="2" s="1"/>
  <c r="AC53" i="2"/>
  <c r="AC51" i="2" s="1"/>
  <c r="BI4" i="16"/>
  <c r="BC12" i="16"/>
  <c r="AM53" i="2"/>
  <c r="AO19" i="16"/>
  <c r="AP9" i="16"/>
  <c r="AB51" i="2"/>
  <c r="AB106" i="2" s="1"/>
  <c r="T349" i="4"/>
  <c r="U345" i="4" s="1"/>
  <c r="U347" i="4" s="1"/>
  <c r="U348" i="4" s="1"/>
  <c r="W220" i="4"/>
  <c r="Q291" i="4"/>
  <c r="Q278" i="4"/>
  <c r="AT16" i="2" l="1"/>
  <c r="AS23" i="2"/>
  <c r="AS22" i="2"/>
  <c r="Y15" i="4"/>
  <c r="Y13" i="4"/>
  <c r="Z13" i="4" s="1"/>
  <c r="CH40" i="2"/>
  <c r="AX26" i="2"/>
  <c r="CE38" i="2"/>
  <c r="AL44" i="4"/>
  <c r="AT119" i="2"/>
  <c r="CK42" i="2"/>
  <c r="CL42" i="2" s="1"/>
  <c r="CM42" i="2" s="1"/>
  <c r="CN42" i="2" s="1"/>
  <c r="CO42" i="2" s="1"/>
  <c r="CP42" i="2" s="1"/>
  <c r="CQ42" i="2" s="1"/>
  <c r="C42" i="2" s="1"/>
  <c r="BL32" i="2"/>
  <c r="BO36" i="2"/>
  <c r="Z55" i="18"/>
  <c r="Z56" i="18" s="1"/>
  <c r="Z57" i="18" s="1"/>
  <c r="AA53" i="18" s="1"/>
  <c r="AO24" i="2"/>
  <c r="AP25" i="2"/>
  <c r="BL129" i="4"/>
  <c r="R264" i="4"/>
  <c r="Y249" i="4"/>
  <c r="Z249" i="4" s="1"/>
  <c r="Y251" i="4"/>
  <c r="T161" i="4"/>
  <c r="U157" i="4" s="1"/>
  <c r="T159" i="4"/>
  <c r="S191" i="4"/>
  <c r="S189" i="4"/>
  <c r="S87" i="4"/>
  <c r="S89" i="4"/>
  <c r="AW55" i="2"/>
  <c r="AX23" i="17"/>
  <c r="AL47" i="2"/>
  <c r="AK108" i="2"/>
  <c r="F6" i="3" s="1"/>
  <c r="AK48" i="2"/>
  <c r="AK109" i="2" s="1"/>
  <c r="Z13" i="18"/>
  <c r="Z14" i="18" s="1"/>
  <c r="Z15" i="18" s="1"/>
  <c r="AA11" i="18" s="1"/>
  <c r="AR22" i="17"/>
  <c r="AL51" i="2"/>
  <c r="AL106" i="2" s="1"/>
  <c r="AN26" i="17"/>
  <c r="AM54" i="2" s="1"/>
  <c r="AA41" i="18"/>
  <c r="AA42" i="18" s="1"/>
  <c r="AA43" i="18" s="1"/>
  <c r="AB39" i="18" s="1"/>
  <c r="Z27" i="18"/>
  <c r="Z28" i="18" s="1"/>
  <c r="Z29" i="18" s="1"/>
  <c r="AA25" i="18" s="1"/>
  <c r="W204" i="4"/>
  <c r="W206" i="4"/>
  <c r="X202" i="4" s="1"/>
  <c r="AZ28" i="2"/>
  <c r="BM29" i="2"/>
  <c r="BM31" i="2"/>
  <c r="BM33" i="2"/>
  <c r="BR35" i="2"/>
  <c r="BX39" i="2"/>
  <c r="BJ27" i="2"/>
  <c r="CI43" i="2"/>
  <c r="AS11" i="16"/>
  <c r="AT7" i="16"/>
  <c r="AA109" i="2"/>
  <c r="AA108" i="2"/>
  <c r="AD109" i="2"/>
  <c r="AD108" i="2"/>
  <c r="BJ4" i="16"/>
  <c r="BD12" i="16"/>
  <c r="BE12" i="16" s="1"/>
  <c r="AN53" i="2"/>
  <c r="AP19" i="16"/>
  <c r="AQ9" i="16"/>
  <c r="AR9" i="16" s="1"/>
  <c r="AB109" i="2"/>
  <c r="AB108" i="2"/>
  <c r="AC106" i="2"/>
  <c r="Q292" i="4"/>
  <c r="W221" i="4"/>
  <c r="X217" i="4" s="1"/>
  <c r="Q279" i="4"/>
  <c r="R275" i="4" s="1"/>
  <c r="U349" i="4"/>
  <c r="V345" i="4" s="1"/>
  <c r="AU16" i="2" l="1"/>
  <c r="AT23" i="2"/>
  <c r="AT22" i="2"/>
  <c r="AA12" i="4"/>
  <c r="AE114" i="2"/>
  <c r="AA13" i="4"/>
  <c r="AE115" i="2" s="1"/>
  <c r="AA11" i="4"/>
  <c r="Z11" i="4"/>
  <c r="Z15" i="4" s="1"/>
  <c r="CI40" i="2"/>
  <c r="CJ40" i="2" s="1"/>
  <c r="CK40" i="2" s="1"/>
  <c r="CL40" i="2" s="1"/>
  <c r="CM40" i="2" s="1"/>
  <c r="CN40" i="2" s="1"/>
  <c r="CO40" i="2" s="1"/>
  <c r="AY26" i="2"/>
  <c r="AK131" i="4"/>
  <c r="AY131" i="2"/>
  <c r="CF38" i="2"/>
  <c r="AL45" i="4"/>
  <c r="AM41" i="4" s="1"/>
  <c r="AM43" i="4" s="1"/>
  <c r="AT120" i="2"/>
  <c r="BM32" i="2"/>
  <c r="BP36" i="2"/>
  <c r="BQ36" i="2" s="1"/>
  <c r="AA55" i="18"/>
  <c r="AA56" i="18" s="1"/>
  <c r="AA57" i="18" s="1"/>
  <c r="AB53" i="18" s="1"/>
  <c r="AP24" i="2"/>
  <c r="AQ24" i="2" s="1"/>
  <c r="AR25" i="2"/>
  <c r="AQ25" i="2"/>
  <c r="AT163" i="2"/>
  <c r="BM129" i="4"/>
  <c r="R265" i="4"/>
  <c r="S261" i="4" s="1"/>
  <c r="U159" i="4"/>
  <c r="U161" i="4"/>
  <c r="V157" i="4" s="1"/>
  <c r="T187" i="4"/>
  <c r="T85" i="4"/>
  <c r="AX55" i="2"/>
  <c r="AY23" i="17"/>
  <c r="AL108" i="2"/>
  <c r="G6" i="3" s="1"/>
  <c r="AL48" i="2"/>
  <c r="AL109" i="2" s="1"/>
  <c r="AM47" i="2"/>
  <c r="AA13" i="18"/>
  <c r="AA14" i="18" s="1"/>
  <c r="AA15" i="18" s="1"/>
  <c r="AB11" i="18" s="1"/>
  <c r="AO26" i="17"/>
  <c r="AN54" i="2" s="1"/>
  <c r="AN51" i="2" s="1"/>
  <c r="AB41" i="18"/>
  <c r="AB42" i="18" s="1"/>
  <c r="AB43" i="18" s="1"/>
  <c r="AC39" i="18" s="1"/>
  <c r="AA27" i="18"/>
  <c r="AA28" i="18" s="1"/>
  <c r="AA29" i="18" s="1"/>
  <c r="AB25" i="18" s="1"/>
  <c r="X204" i="4"/>
  <c r="X206" i="4"/>
  <c r="Y202" i="4" s="1"/>
  <c r="BA28" i="2"/>
  <c r="BN29" i="2"/>
  <c r="BN31" i="2"/>
  <c r="BN33" i="2"/>
  <c r="BS35" i="2"/>
  <c r="BY39" i="2"/>
  <c r="BK27" i="2"/>
  <c r="CJ43" i="2"/>
  <c r="AM51" i="2"/>
  <c r="AM106" i="2" s="1"/>
  <c r="AT11" i="16"/>
  <c r="AU7" i="16"/>
  <c r="BK4" i="16"/>
  <c r="BF12" i="16"/>
  <c r="AO53" i="2"/>
  <c r="AQ19" i="16"/>
  <c r="AR19" i="16" s="1"/>
  <c r="AS9" i="16"/>
  <c r="AC109" i="2"/>
  <c r="AC108" i="2"/>
  <c r="X219" i="4"/>
  <c r="Q293" i="4"/>
  <c r="R289" i="4" s="1"/>
  <c r="R277" i="4"/>
  <c r="V347" i="4"/>
  <c r="V348" i="4" s="1"/>
  <c r="AV16" i="2" l="1"/>
  <c r="AU23" i="2"/>
  <c r="AU22" i="2"/>
  <c r="AA14" i="4"/>
  <c r="CP40" i="2"/>
  <c r="CQ40" i="2" s="1"/>
  <c r="C40" i="2" s="1"/>
  <c r="AZ26" i="2"/>
  <c r="CG38" i="2"/>
  <c r="AK132" i="4"/>
  <c r="AL128" i="4" s="1"/>
  <c r="AL130" i="4" s="1"/>
  <c r="AY132" i="2"/>
  <c r="AM44" i="4"/>
  <c r="AU119" i="2"/>
  <c r="BN32" i="2"/>
  <c r="BR36" i="2"/>
  <c r="AB55" i="18"/>
  <c r="AB56" i="18" s="1"/>
  <c r="AB57" i="18" s="1"/>
  <c r="AC53" i="18" s="1"/>
  <c r="AS25" i="2"/>
  <c r="AR24" i="2"/>
  <c r="BN129" i="4"/>
  <c r="S263" i="4"/>
  <c r="V159" i="4"/>
  <c r="V161" i="4"/>
  <c r="T191" i="4"/>
  <c r="U187" i="4" s="1"/>
  <c r="T189" i="4"/>
  <c r="T89" i="4"/>
  <c r="U85" i="4" s="1"/>
  <c r="T87" i="4"/>
  <c r="AY55" i="2"/>
  <c r="AZ23" i="17"/>
  <c r="AM108" i="2"/>
  <c r="H6" i="3" s="1"/>
  <c r="AM48" i="2"/>
  <c r="AM109" i="2" s="1"/>
  <c r="AN47" i="2"/>
  <c r="AN48" i="2" s="1"/>
  <c r="AB13" i="18"/>
  <c r="AB14" i="18" s="1"/>
  <c r="AB15" i="18" s="1"/>
  <c r="AC11" i="18" s="1"/>
  <c r="AP26" i="17"/>
  <c r="AO54" i="2" s="1"/>
  <c r="AO51" i="2" s="1"/>
  <c r="AO106" i="2" s="1"/>
  <c r="AR26" i="17"/>
  <c r="AQ54" i="2" s="1"/>
  <c r="AC41" i="18"/>
  <c r="AC42" i="18" s="1"/>
  <c r="AC43" i="18" s="1"/>
  <c r="AD39" i="18" s="1"/>
  <c r="AB27" i="18"/>
  <c r="AB28" i="18" s="1"/>
  <c r="AB29" i="18" s="1"/>
  <c r="AC25" i="18" s="1"/>
  <c r="Y204" i="4"/>
  <c r="Z204" i="4" s="1"/>
  <c r="Y206" i="4"/>
  <c r="BB28" i="2"/>
  <c r="BO29" i="2"/>
  <c r="BO31" i="2"/>
  <c r="BO33" i="2"/>
  <c r="BT35" i="2"/>
  <c r="BZ39" i="2"/>
  <c r="BL27" i="2"/>
  <c r="AU11" i="16"/>
  <c r="AV7" i="16"/>
  <c r="BL4" i="16"/>
  <c r="BG12" i="16"/>
  <c r="AN106" i="2"/>
  <c r="AQ53" i="2"/>
  <c r="AP53" i="2"/>
  <c r="AS10" i="16" a="1"/>
  <c r="AS10" i="16" s="1"/>
  <c r="AS19" i="16" s="1"/>
  <c r="AT9" i="16"/>
  <c r="V349" i="4"/>
  <c r="W345" i="4" s="1"/>
  <c r="R291" i="4"/>
  <c r="X220" i="4"/>
  <c r="R278" i="4"/>
  <c r="AW16" i="2" l="1"/>
  <c r="AV23" i="2"/>
  <c r="AV22" i="2"/>
  <c r="AA15" i="4"/>
  <c r="AB11" i="4" s="1"/>
  <c r="AB13" i="4" s="1"/>
  <c r="AE116" i="2"/>
  <c r="AE164" i="2" s="1"/>
  <c r="BA26" i="2"/>
  <c r="CH38" i="2"/>
  <c r="AM45" i="4"/>
  <c r="AN41" i="4" s="1"/>
  <c r="AN43" i="4" s="1"/>
  <c r="AU120" i="2"/>
  <c r="BO32" i="2"/>
  <c r="BS36" i="2"/>
  <c r="AS24" i="2"/>
  <c r="AT25" i="2"/>
  <c r="AC55" i="18"/>
  <c r="AC56" i="18" s="1"/>
  <c r="AC57" i="18" s="1"/>
  <c r="AD53" i="18" s="1"/>
  <c r="AU163" i="2"/>
  <c r="BO129" i="4"/>
  <c r="S264" i="4"/>
  <c r="W347" i="4"/>
  <c r="W348" i="4" s="1"/>
  <c r="W157" i="4"/>
  <c r="U189" i="4"/>
  <c r="U191" i="4"/>
  <c r="V187" i="4" s="1"/>
  <c r="U89" i="4"/>
  <c r="V85" i="4" s="1"/>
  <c r="U87" i="4"/>
  <c r="AZ55" i="2"/>
  <c r="BA23" i="17"/>
  <c r="AQ51" i="2"/>
  <c r="AQ106" i="2" s="1"/>
  <c r="AO47" i="2"/>
  <c r="AQ22" i="2"/>
  <c r="AQ47" i="2" s="1"/>
  <c r="AC13" i="18"/>
  <c r="AC14" i="18" s="1"/>
  <c r="AC15" i="18" s="1"/>
  <c r="AD11" i="18" s="1"/>
  <c r="AQ26" i="17"/>
  <c r="AP54" i="2" s="1"/>
  <c r="AD41" i="18"/>
  <c r="AD42" i="18" s="1"/>
  <c r="AD43" i="18" s="1"/>
  <c r="AE39" i="18" s="1"/>
  <c r="AC27" i="18"/>
  <c r="AC28" i="18" s="1"/>
  <c r="AC29" i="18" s="1"/>
  <c r="AD25" i="18" s="1"/>
  <c r="BC28" i="2"/>
  <c r="BD28" i="2" s="1"/>
  <c r="BP29" i="2"/>
  <c r="BQ29" i="2" s="1"/>
  <c r="BP31" i="2"/>
  <c r="BQ31" i="2" s="1"/>
  <c r="BP33" i="2"/>
  <c r="BQ33" i="2" s="1"/>
  <c r="BU35" i="2"/>
  <c r="CA39" i="2"/>
  <c r="BM27" i="2"/>
  <c r="AV11" i="16"/>
  <c r="AW7" i="16"/>
  <c r="BM4" i="16"/>
  <c r="BH12" i="16"/>
  <c r="AN109" i="2"/>
  <c r="AN108" i="2"/>
  <c r="I6" i="3" s="1"/>
  <c r="AR53" i="2"/>
  <c r="AT10" i="16"/>
  <c r="AT19" i="16"/>
  <c r="AU9" i="16"/>
  <c r="X221" i="4"/>
  <c r="Y217" i="4" s="1"/>
  <c r="R292" i="4"/>
  <c r="R279" i="4"/>
  <c r="S275" i="4" s="1"/>
  <c r="AX16" i="2" l="1"/>
  <c r="AW23" i="2"/>
  <c r="AW22" i="2"/>
  <c r="AB14" i="4"/>
  <c r="AF115" i="2"/>
  <c r="BB26" i="2"/>
  <c r="CI38" i="2"/>
  <c r="AL131" i="4"/>
  <c r="AZ131" i="2"/>
  <c r="AN44" i="4"/>
  <c r="AV119" i="2"/>
  <c r="BP32" i="2"/>
  <c r="BQ32" i="2" s="1"/>
  <c r="AT24" i="2"/>
  <c r="AU25" i="2"/>
  <c r="BT36" i="2"/>
  <c r="AD55" i="18"/>
  <c r="AD56" i="18" s="1"/>
  <c r="AD57" i="18" s="1"/>
  <c r="AE53" i="18" s="1"/>
  <c r="BP129" i="4"/>
  <c r="S265" i="4"/>
  <c r="T261" i="4" s="1"/>
  <c r="W349" i="4"/>
  <c r="X345" i="4" s="1"/>
  <c r="W161" i="4"/>
  <c r="X157" i="4" s="1"/>
  <c r="W159" i="4"/>
  <c r="V191" i="4"/>
  <c r="V189" i="4"/>
  <c r="V89" i="4"/>
  <c r="V87" i="4"/>
  <c r="AO48" i="2"/>
  <c r="AO109" i="2" s="1"/>
  <c r="AO108" i="2"/>
  <c r="J6" i="3" s="1"/>
  <c r="BA55" i="2"/>
  <c r="BB23" i="17"/>
  <c r="AP47" i="2"/>
  <c r="AD13" i="18"/>
  <c r="AD14" i="18" s="1"/>
  <c r="AD15" i="18" s="1"/>
  <c r="AE11" i="18" s="1"/>
  <c r="AP51" i="2"/>
  <c r="AP106" i="2" s="1"/>
  <c r="AS26" i="17"/>
  <c r="AR54" i="2" s="1"/>
  <c r="AR51" i="2" s="1"/>
  <c r="AE41" i="18"/>
  <c r="AE42" i="18" s="1"/>
  <c r="AE43" i="18" s="1"/>
  <c r="AF39" i="18" s="1"/>
  <c r="AD27" i="18"/>
  <c r="AD28" i="18" s="1"/>
  <c r="AD29" i="18" s="1"/>
  <c r="AE25" i="18" s="1"/>
  <c r="BE28" i="2"/>
  <c r="BR29" i="2"/>
  <c r="BR31" i="2"/>
  <c r="BR33" i="2"/>
  <c r="BV35" i="2"/>
  <c r="CB39" i="2"/>
  <c r="BN27" i="2"/>
  <c r="AQ108" i="2"/>
  <c r="L6" i="3" s="1"/>
  <c r="AQ48" i="2"/>
  <c r="AQ109" i="2" s="1"/>
  <c r="AW11" i="16"/>
  <c r="AX7" i="16"/>
  <c r="BN4" i="16"/>
  <c r="BI12" i="16"/>
  <c r="AS53" i="2"/>
  <c r="AU19" i="16"/>
  <c r="AV9" i="16"/>
  <c r="AU10" i="16"/>
  <c r="AV10" i="16" s="1"/>
  <c r="AW10" i="16" s="1"/>
  <c r="AX10" i="16" s="1"/>
  <c r="AY10" i="16" s="1"/>
  <c r="AZ10" i="16" s="1"/>
  <c r="BA10" i="16" s="1"/>
  <c r="BB10" i="16" s="1"/>
  <c r="BC10" i="16" s="1"/>
  <c r="BD10" i="16" s="1"/>
  <c r="BE10" i="16"/>
  <c r="Y219" i="4"/>
  <c r="R293" i="4"/>
  <c r="S289" i="4" s="1"/>
  <c r="S277" i="4"/>
  <c r="AY16" i="2" l="1"/>
  <c r="AX23" i="2"/>
  <c r="AX22" i="2"/>
  <c r="AB15" i="4"/>
  <c r="AC11" i="4" s="1"/>
  <c r="AC13" i="4" s="1"/>
  <c r="AF116" i="2"/>
  <c r="AF164" i="2" s="1"/>
  <c r="BC26" i="2"/>
  <c r="BD26" i="2" s="1"/>
  <c r="CJ38" i="2"/>
  <c r="AL132" i="4"/>
  <c r="AM128" i="4" s="1"/>
  <c r="AM130" i="4" s="1"/>
  <c r="AZ132" i="2"/>
  <c r="AV120" i="2"/>
  <c r="AN45" i="4"/>
  <c r="AO41" i="4" s="1"/>
  <c r="AO43" i="4" s="1"/>
  <c r="AW119" i="2" s="1"/>
  <c r="BR32" i="2"/>
  <c r="AU24" i="2"/>
  <c r="BU36" i="2"/>
  <c r="AV25" i="2"/>
  <c r="AE55" i="18"/>
  <c r="AE56" i="18" s="1"/>
  <c r="AE57" i="18" s="1"/>
  <c r="AF53" i="18" s="1"/>
  <c r="BQ129" i="4"/>
  <c r="T263" i="4"/>
  <c r="X347" i="4"/>
  <c r="X348" i="4" s="1"/>
  <c r="X161" i="4"/>
  <c r="Y157" i="4" s="1"/>
  <c r="X159" i="4"/>
  <c r="W187" i="4"/>
  <c r="W85" i="4"/>
  <c r="AP48" i="2"/>
  <c r="AP109" i="2" s="1"/>
  <c r="AP108" i="2"/>
  <c r="K6" i="3" s="1"/>
  <c r="BB55" i="2"/>
  <c r="BC23" i="17"/>
  <c r="AR47" i="2"/>
  <c r="AR48" i="2" s="1"/>
  <c r="AE13" i="18"/>
  <c r="AE14" i="18" s="1"/>
  <c r="AE15" i="18" s="1"/>
  <c r="AF11" i="18" s="1"/>
  <c r="AT26" i="17"/>
  <c r="AS54" i="2" s="1"/>
  <c r="AS51" i="2" s="1"/>
  <c r="AF41" i="18"/>
  <c r="AF42" i="18" s="1"/>
  <c r="AF43" i="18" s="1"/>
  <c r="AG39" i="18" s="1"/>
  <c r="AE27" i="18"/>
  <c r="AE28" i="18" s="1"/>
  <c r="AE29" i="18" s="1"/>
  <c r="AF25" i="18" s="1"/>
  <c r="BF28" i="2"/>
  <c r="BS29" i="2"/>
  <c r="BS31" i="2"/>
  <c r="BS33" i="2"/>
  <c r="BW35" i="2"/>
  <c r="CG41" i="2"/>
  <c r="CC39" i="2"/>
  <c r="CD39" i="2" s="1"/>
  <c r="BO27" i="2"/>
  <c r="AX11" i="16"/>
  <c r="AY7" i="16"/>
  <c r="BO4" i="16"/>
  <c r="BJ12" i="16"/>
  <c r="AR106" i="2"/>
  <c r="AT53" i="2"/>
  <c r="AV19" i="16"/>
  <c r="AW9" i="16"/>
  <c r="S291" i="4"/>
  <c r="Y220" i="4"/>
  <c r="S278" i="4"/>
  <c r="AZ16" i="2" l="1"/>
  <c r="AY23" i="2"/>
  <c r="AY22" i="2"/>
  <c r="AF114" i="2"/>
  <c r="AC14" i="4"/>
  <c r="AG115" i="2"/>
  <c r="BE26" i="2"/>
  <c r="CK38" i="2"/>
  <c r="AO44" i="4"/>
  <c r="AW120" i="2" s="1"/>
  <c r="BS32" i="2"/>
  <c r="AV24" i="2"/>
  <c r="AW25" i="2"/>
  <c r="AF55" i="18"/>
  <c r="AF56" i="18" s="1"/>
  <c r="AF57" i="18" s="1"/>
  <c r="AG53" i="18" s="1"/>
  <c r="BV36" i="2"/>
  <c r="AV163" i="2"/>
  <c r="BR129" i="4"/>
  <c r="T264" i="4"/>
  <c r="X349" i="4"/>
  <c r="Y345" i="4" s="1"/>
  <c r="Y347" i="4" s="1"/>
  <c r="Y348" i="4" s="1"/>
  <c r="Y159" i="4"/>
  <c r="Z159" i="4" s="1"/>
  <c r="Y161" i="4"/>
  <c r="W189" i="4"/>
  <c r="W191" i="4"/>
  <c r="X187" i="4" s="1"/>
  <c r="W89" i="4"/>
  <c r="X85" i="4" s="1"/>
  <c r="W87" i="4"/>
  <c r="BC55" i="2"/>
  <c r="BD23" i="17"/>
  <c r="AS47" i="2"/>
  <c r="AS48" i="2" s="1"/>
  <c r="AF13" i="18"/>
  <c r="AF14" i="18" s="1"/>
  <c r="AF15" i="18" s="1"/>
  <c r="AG11" i="18" s="1"/>
  <c r="AU26" i="17"/>
  <c r="AT54" i="2" s="1"/>
  <c r="AG41" i="18"/>
  <c r="AG42" i="18" s="1"/>
  <c r="AG43" i="18" s="1"/>
  <c r="AH39" i="18" s="1"/>
  <c r="AF27" i="18"/>
  <c r="AF28" i="18" s="1"/>
  <c r="AF29" i="18" s="1"/>
  <c r="AG25" i="18" s="1"/>
  <c r="BG28" i="2"/>
  <c r="BT29" i="2"/>
  <c r="BT31" i="2"/>
  <c r="BT33" i="2"/>
  <c r="BX35" i="2"/>
  <c r="CH41" i="2"/>
  <c r="CK43" i="2"/>
  <c r="CE39" i="2"/>
  <c r="BP27" i="2"/>
  <c r="BQ27" i="2" s="1"/>
  <c r="AY11" i="16"/>
  <c r="AZ7" i="16"/>
  <c r="BP4" i="16"/>
  <c r="BK12" i="16"/>
  <c r="AR109" i="2"/>
  <c r="AR108" i="2"/>
  <c r="M6" i="3" s="1"/>
  <c r="AU53" i="2"/>
  <c r="AW19" i="16"/>
  <c r="AX9" i="16"/>
  <c r="Y221" i="4"/>
  <c r="S292" i="4"/>
  <c r="S279" i="4"/>
  <c r="T275" i="4" s="1"/>
  <c r="BA16" i="2" l="1"/>
  <c r="AZ23" i="2"/>
  <c r="AZ22" i="2"/>
  <c r="AC15" i="4"/>
  <c r="AD11" i="4" s="1"/>
  <c r="AD13" i="4" s="1"/>
  <c r="AG116" i="2"/>
  <c r="AG114" i="2" s="1"/>
  <c r="CL38" i="2"/>
  <c r="BF26" i="2"/>
  <c r="AM131" i="4"/>
  <c r="BA131" i="2"/>
  <c r="AO45" i="4"/>
  <c r="AP41" i="4" s="1"/>
  <c r="AP43" i="4" s="1"/>
  <c r="BT32" i="2"/>
  <c r="AW24" i="2"/>
  <c r="AX25" i="2"/>
  <c r="AG55" i="18"/>
  <c r="AG56" i="18" s="1"/>
  <c r="AG57" i="18" s="1"/>
  <c r="AH53" i="18" s="1"/>
  <c r="BW36" i="2"/>
  <c r="BS129" i="4"/>
  <c r="T265" i="4"/>
  <c r="U261" i="4" s="1"/>
  <c r="Y349" i="4"/>
  <c r="X191" i="4"/>
  <c r="Y187" i="4" s="1"/>
  <c r="X189" i="4"/>
  <c r="X89" i="4"/>
  <c r="Y85" i="4" s="1"/>
  <c r="X87" i="4"/>
  <c r="BD55" i="2"/>
  <c r="BE55" i="2"/>
  <c r="BF23" i="17"/>
  <c r="AT47" i="2"/>
  <c r="AT48" i="2" s="1"/>
  <c r="AG13" i="18"/>
  <c r="AG14" i="18" s="1"/>
  <c r="AG15" i="18" s="1"/>
  <c r="AH11" i="18" s="1"/>
  <c r="AT51" i="2"/>
  <c r="AT106" i="2" s="1"/>
  <c r="AV26" i="17"/>
  <c r="AU54" i="2" s="1"/>
  <c r="AH41" i="18"/>
  <c r="AH42" i="18" s="1"/>
  <c r="AH43" i="18" s="1"/>
  <c r="AI39" i="18" s="1"/>
  <c r="AG27" i="18"/>
  <c r="AG28" i="18" s="1"/>
  <c r="AG29" i="18" s="1"/>
  <c r="AH25" i="18" s="1"/>
  <c r="BH28" i="2"/>
  <c r="BU29" i="2"/>
  <c r="BU31" i="2"/>
  <c r="BU33" i="2"/>
  <c r="BY35" i="2"/>
  <c r="CL43" i="2"/>
  <c r="CF39" i="2"/>
  <c r="BR27" i="2"/>
  <c r="CI41" i="2"/>
  <c r="AZ11" i="16"/>
  <c r="BA7" i="16"/>
  <c r="BQ4" i="16"/>
  <c r="BL12" i="16"/>
  <c r="AV53" i="2"/>
  <c r="AX19" i="16"/>
  <c r="AY9" i="16"/>
  <c r="BR4" i="16"/>
  <c r="S293" i="4"/>
  <c r="T289" i="4" s="1"/>
  <c r="T277" i="4"/>
  <c r="BB16" i="2" l="1"/>
  <c r="BA23" i="2"/>
  <c r="BA22" i="2"/>
  <c r="AG164" i="2"/>
  <c r="AD14" i="4"/>
  <c r="AH115" i="2"/>
  <c r="BG26" i="2"/>
  <c r="CM38" i="2"/>
  <c r="AX119" i="2"/>
  <c r="AM132" i="4"/>
  <c r="AN128" i="4" s="1"/>
  <c r="AN130" i="4" s="1"/>
  <c r="BA132" i="2"/>
  <c r="BU32" i="2"/>
  <c r="AH55" i="18"/>
  <c r="AH56" i="18" s="1"/>
  <c r="AH57" i="18" s="1"/>
  <c r="AI53" i="18" s="1"/>
  <c r="BX36" i="2"/>
  <c r="AX24" i="2"/>
  <c r="AY25" i="2"/>
  <c r="AP44" i="4"/>
  <c r="AX120" i="2" s="1"/>
  <c r="BT129" i="4"/>
  <c r="U263" i="4"/>
  <c r="Y191" i="4"/>
  <c r="Y189" i="4"/>
  <c r="Y89" i="4"/>
  <c r="Y87" i="4"/>
  <c r="Z87" i="4" s="1"/>
  <c r="CJ41" i="2"/>
  <c r="CK41" i="2" s="1"/>
  <c r="CL41" i="2" s="1"/>
  <c r="CM41" i="2" s="1"/>
  <c r="CN41" i="2" s="1"/>
  <c r="BF55" i="2"/>
  <c r="BG23" i="17"/>
  <c r="AU47" i="2"/>
  <c r="AU48" i="2" s="1"/>
  <c r="AH13" i="18"/>
  <c r="AH14" i="18" s="1"/>
  <c r="AH15" i="18" s="1"/>
  <c r="AI11" i="18" s="1"/>
  <c r="AW26" i="17"/>
  <c r="AV54" i="2" s="1"/>
  <c r="AV51" i="2" s="1"/>
  <c r="AV106" i="2" s="1"/>
  <c r="AI41" i="18"/>
  <c r="AI42" i="18" s="1"/>
  <c r="AI43" i="18" s="1"/>
  <c r="AJ39" i="18" s="1"/>
  <c r="AH27" i="18"/>
  <c r="AH28" i="18" s="1"/>
  <c r="AH29" i="18" s="1"/>
  <c r="AI25" i="18" s="1"/>
  <c r="BI28" i="2"/>
  <c r="BV29" i="2"/>
  <c r="BV31" i="2"/>
  <c r="BV33" i="2"/>
  <c r="BZ35" i="2"/>
  <c r="CG39" i="2"/>
  <c r="BS27" i="2"/>
  <c r="AT109" i="2"/>
  <c r="AT108" i="2"/>
  <c r="O6" i="3" s="1"/>
  <c r="AU51" i="2"/>
  <c r="AU106" i="2" s="1"/>
  <c r="CM43" i="2"/>
  <c r="CN43" i="2" s="1"/>
  <c r="BA11" i="16"/>
  <c r="BB7" i="16"/>
  <c r="BS4" i="16"/>
  <c r="BM12" i="16"/>
  <c r="AW53" i="2"/>
  <c r="AY19" i="16"/>
  <c r="AZ9" i="16"/>
  <c r="T291" i="4"/>
  <c r="T278" i="4"/>
  <c r="BC16" i="2" l="1"/>
  <c r="BB23" i="2"/>
  <c r="BB22" i="2"/>
  <c r="AD15" i="4"/>
  <c r="AE11" i="4" s="1"/>
  <c r="AE13" i="4" s="1"/>
  <c r="AH116" i="2"/>
  <c r="AH114" i="2" s="1"/>
  <c r="C7" i="3" s="1"/>
  <c r="C8" i="3" s="1"/>
  <c r="BH26" i="2"/>
  <c r="CN38" i="2"/>
  <c r="BV32" i="2"/>
  <c r="AZ25" i="2"/>
  <c r="AI55" i="18"/>
  <c r="AI56" i="18" s="1"/>
  <c r="AI57" i="18" s="1"/>
  <c r="AJ53" i="18" s="1"/>
  <c r="AY24" i="2"/>
  <c r="BY36" i="2"/>
  <c r="Z189" i="4"/>
  <c r="AP45" i="4"/>
  <c r="AQ41" i="4" s="1"/>
  <c r="AQ43" i="4" s="1"/>
  <c r="AW163" i="2"/>
  <c r="BU129" i="4"/>
  <c r="U264" i="4"/>
  <c r="CO41" i="2"/>
  <c r="CP41" i="2" s="1"/>
  <c r="CQ41" i="2" s="1"/>
  <c r="C41" i="2" s="1"/>
  <c r="BG55" i="2"/>
  <c r="BH23" i="17"/>
  <c r="AV47" i="2"/>
  <c r="AI13" i="18"/>
  <c r="AI14" i="18" s="1"/>
  <c r="AI15" i="18" s="1"/>
  <c r="AJ11" i="18" s="1"/>
  <c r="AX26" i="17"/>
  <c r="AW54" i="2" s="1"/>
  <c r="AJ41" i="18"/>
  <c r="AJ42" i="18" s="1"/>
  <c r="AJ43" i="18" s="1"/>
  <c r="AK39" i="18" s="1"/>
  <c r="AI27" i="18"/>
  <c r="AI28" i="18" s="1"/>
  <c r="AI29" i="18" s="1"/>
  <c r="AJ25" i="18" s="1"/>
  <c r="BJ28" i="2"/>
  <c r="BW29" i="2"/>
  <c r="BW31" i="2"/>
  <c r="BW33" i="2"/>
  <c r="CA35" i="2"/>
  <c r="CH39" i="2"/>
  <c r="BT27" i="2"/>
  <c r="CO43" i="2"/>
  <c r="BB11" i="16"/>
  <c r="BC7" i="16"/>
  <c r="BT4" i="16"/>
  <c r="BN12" i="16"/>
  <c r="AU109" i="2"/>
  <c r="AU108" i="2"/>
  <c r="P6" i="3" s="1"/>
  <c r="AX53" i="2"/>
  <c r="AZ19" i="16"/>
  <c r="BA9" i="16"/>
  <c r="T292" i="4"/>
  <c r="T279" i="4"/>
  <c r="U275" i="4" s="1"/>
  <c r="BE16" i="2" l="1"/>
  <c r="BC23" i="2"/>
  <c r="BD23" i="2" s="1"/>
  <c r="BC22" i="2"/>
  <c r="AH164" i="2"/>
  <c r="AE14" i="4"/>
  <c r="AI115" i="2"/>
  <c r="BI26" i="2"/>
  <c r="CO38" i="2"/>
  <c r="AN131" i="4"/>
  <c r="BB131" i="2"/>
  <c r="BW32" i="2"/>
  <c r="AJ55" i="18"/>
  <c r="AJ56" i="18" s="1"/>
  <c r="AJ57" i="18" s="1"/>
  <c r="AK53" i="18" s="1"/>
  <c r="AZ24" i="2"/>
  <c r="BA25" i="2"/>
  <c r="BZ36" i="2"/>
  <c r="AY119" i="2"/>
  <c r="BV129" i="4"/>
  <c r="U265" i="4"/>
  <c r="V261" i="4" s="1"/>
  <c r="AV48" i="2"/>
  <c r="AV109" i="2" s="1"/>
  <c r="AV108" i="2"/>
  <c r="Q6" i="3" s="1"/>
  <c r="BH55" i="2"/>
  <c r="BI23" i="17"/>
  <c r="CP43" i="2"/>
  <c r="AW47" i="2"/>
  <c r="AW48" i="2" s="1"/>
  <c r="AJ13" i="18"/>
  <c r="AJ14" i="18" s="1"/>
  <c r="AJ15" i="18" s="1"/>
  <c r="AK11" i="18" s="1"/>
  <c r="AW51" i="2"/>
  <c r="AW106" i="2" s="1"/>
  <c r="AY26" i="17"/>
  <c r="AX54" i="2" s="1"/>
  <c r="AK41" i="18"/>
  <c r="AK42" i="18" s="1"/>
  <c r="AK43" i="18" s="1"/>
  <c r="AL39" i="18" s="1"/>
  <c r="AJ27" i="18"/>
  <c r="AJ28" i="18" s="1"/>
  <c r="AJ29" i="18" s="1"/>
  <c r="AK25" i="18" s="1"/>
  <c r="BK28" i="2"/>
  <c r="BX29" i="2"/>
  <c r="BX31" i="2"/>
  <c r="BX33" i="2"/>
  <c r="CB35" i="2"/>
  <c r="CI39" i="2"/>
  <c r="BU27" i="2"/>
  <c r="BC11" i="16"/>
  <c r="BD7" i="16"/>
  <c r="BE7" i="16" s="1"/>
  <c r="BU4" i="16"/>
  <c r="BO12" i="16"/>
  <c r="AY53" i="2"/>
  <c r="BA19" i="16"/>
  <c r="BB9" i="16"/>
  <c r="T293" i="4"/>
  <c r="U289" i="4" s="1"/>
  <c r="U277" i="4"/>
  <c r="BF16" i="2" l="1"/>
  <c r="BE22" i="2"/>
  <c r="BE23" i="2"/>
  <c r="AE15" i="4"/>
  <c r="AF11" i="4" s="1"/>
  <c r="AF13" i="4" s="1"/>
  <c r="AI116" i="2"/>
  <c r="CP38" i="2"/>
  <c r="CQ38" i="2" s="1"/>
  <c r="C38" i="2" s="1"/>
  <c r="BJ26" i="2"/>
  <c r="BK26" i="2" s="1"/>
  <c r="AN132" i="4"/>
  <c r="AO128" i="4" s="1"/>
  <c r="AO130" i="4" s="1"/>
  <c r="BB132" i="2"/>
  <c r="BX32" i="2"/>
  <c r="BB25" i="2"/>
  <c r="BA24" i="2"/>
  <c r="AK55" i="18"/>
  <c r="AK56" i="18" s="1"/>
  <c r="AK57" i="18" s="1"/>
  <c r="AL53" i="18" s="1"/>
  <c r="CA36" i="2"/>
  <c r="CQ43" i="2"/>
  <c r="AQ44" i="4"/>
  <c r="AY120" i="2" s="1"/>
  <c r="BW129" i="4"/>
  <c r="V263" i="4"/>
  <c r="BI55" i="2"/>
  <c r="BJ23" i="17"/>
  <c r="AX47" i="2"/>
  <c r="AX48" i="2" s="1"/>
  <c r="AK13" i="18"/>
  <c r="AK14" i="18" s="1"/>
  <c r="AK15" i="18" s="1"/>
  <c r="AL11" i="18" s="1"/>
  <c r="AZ26" i="17"/>
  <c r="AY54" i="2" s="1"/>
  <c r="AY51" i="2" s="1"/>
  <c r="AY106" i="2" s="1"/>
  <c r="AL41" i="18"/>
  <c r="AL42" i="18" s="1"/>
  <c r="AL43" i="18" s="1"/>
  <c r="AM39" i="18" s="1"/>
  <c r="AK27" i="18"/>
  <c r="AK28" i="18" s="1"/>
  <c r="AK29" i="18" s="1"/>
  <c r="AL25" i="18" s="1"/>
  <c r="BL28" i="2"/>
  <c r="BY29" i="2"/>
  <c r="BY31" i="2"/>
  <c r="BY33" i="2"/>
  <c r="CC35" i="2"/>
  <c r="CD35" i="2" s="1"/>
  <c r="CJ39" i="2"/>
  <c r="BV27" i="2"/>
  <c r="AW109" i="2"/>
  <c r="AW108" i="2"/>
  <c r="R6" i="3" s="1"/>
  <c r="AX51" i="2"/>
  <c r="AX106" i="2" s="1"/>
  <c r="BD11" i="16"/>
  <c r="BE11" i="16" s="1"/>
  <c r="BF7" i="16"/>
  <c r="BV4" i="16"/>
  <c r="BP12" i="16"/>
  <c r="AZ53" i="2"/>
  <c r="BB19" i="16"/>
  <c r="BC9" i="16"/>
  <c r="U291" i="4"/>
  <c r="U278" i="4"/>
  <c r="BG16" i="2" l="1"/>
  <c r="BF22" i="2"/>
  <c r="BF23" i="2"/>
  <c r="AI164" i="2"/>
  <c r="AF14" i="4"/>
  <c r="AJ115" i="2"/>
  <c r="AI114" i="2"/>
  <c r="D7" i="3" s="1"/>
  <c r="D8" i="3" s="1"/>
  <c r="BY32" i="2"/>
  <c r="BZ32" i="2" s="1"/>
  <c r="BB24" i="2"/>
  <c r="BC25" i="2"/>
  <c r="BD25" i="2" s="1"/>
  <c r="AL55" i="18"/>
  <c r="AL56" i="18" s="1"/>
  <c r="AL57" i="18" s="1"/>
  <c r="AM53" i="18" s="1"/>
  <c r="CB36" i="2"/>
  <c r="C43" i="2"/>
  <c r="AX163" i="2"/>
  <c r="AQ45" i="4"/>
  <c r="AR41" i="4" s="1"/>
  <c r="AR43" i="4" s="1"/>
  <c r="BX129" i="4"/>
  <c r="V264" i="4"/>
  <c r="BJ55" i="2"/>
  <c r="BK23" i="17"/>
  <c r="AY47" i="2"/>
  <c r="AL13" i="18"/>
  <c r="AL14" i="18" s="1"/>
  <c r="AL15" i="18" s="1"/>
  <c r="AM11" i="18" s="1"/>
  <c r="BL26" i="2"/>
  <c r="BE22" i="17"/>
  <c r="BA26" i="17"/>
  <c r="AZ54" i="2" s="1"/>
  <c r="AZ51" i="2" s="1"/>
  <c r="AM41" i="18"/>
  <c r="AM42" i="18" s="1"/>
  <c r="AM43" i="18" s="1"/>
  <c r="AN39" i="18" s="1"/>
  <c r="AL27" i="18"/>
  <c r="AL28" i="18" s="1"/>
  <c r="AL29" i="18" s="1"/>
  <c r="AM25" i="18" s="1"/>
  <c r="BM28" i="2"/>
  <c r="BZ29" i="2"/>
  <c r="BZ31" i="2"/>
  <c r="BZ33" i="2"/>
  <c r="CE35" i="2"/>
  <c r="CK39" i="2"/>
  <c r="BW27" i="2"/>
  <c r="BF11" i="16"/>
  <c r="BG7" i="16"/>
  <c r="BW4" i="16"/>
  <c r="BQ12" i="16"/>
  <c r="BR12" i="16" s="1"/>
  <c r="AX108" i="2"/>
  <c r="S6" i="3" s="1"/>
  <c r="AX109" i="2"/>
  <c r="BA53" i="2"/>
  <c r="BC19" i="16"/>
  <c r="BD9" i="16"/>
  <c r="BE9" i="16" s="1"/>
  <c r="U292" i="4"/>
  <c r="U279" i="4"/>
  <c r="V275" i="4" s="1"/>
  <c r="BH16" i="2" l="1"/>
  <c r="BG22" i="2"/>
  <c r="BG23" i="2"/>
  <c r="AF15" i="4"/>
  <c r="AG11" i="4" s="1"/>
  <c r="AG13" i="4" s="1"/>
  <c r="AJ116" i="2"/>
  <c r="AO131" i="4"/>
  <c r="BC131" i="2"/>
  <c r="BD131" i="2" s="1"/>
  <c r="CC36" i="2"/>
  <c r="CD36" i="2" s="1"/>
  <c r="BC24" i="2"/>
  <c r="BE25" i="2"/>
  <c r="AM55" i="18"/>
  <c r="AM56" i="18" s="1"/>
  <c r="AM57" i="18" s="1"/>
  <c r="AN53" i="18" s="1"/>
  <c r="AZ119" i="2"/>
  <c r="V265" i="4"/>
  <c r="W261" i="4" s="1"/>
  <c r="BK55" i="2"/>
  <c r="BL23" i="17"/>
  <c r="CA32" i="2"/>
  <c r="AZ47" i="2"/>
  <c r="AZ48" i="2" s="1"/>
  <c r="AM13" i="18"/>
  <c r="AM14" i="18" s="1"/>
  <c r="AM15" i="18" s="1"/>
  <c r="AN11" i="18" s="1"/>
  <c r="BM26" i="2"/>
  <c r="BB26" i="17"/>
  <c r="BA54" i="2" s="1"/>
  <c r="AN41" i="18"/>
  <c r="AN42" i="18" s="1"/>
  <c r="AN43" i="18" s="1"/>
  <c r="AO39" i="18" s="1"/>
  <c r="AM27" i="18"/>
  <c r="AM28" i="18" s="1"/>
  <c r="AM29" i="18" s="1"/>
  <c r="AN25" i="18" s="1"/>
  <c r="BN28" i="2"/>
  <c r="CA29" i="2"/>
  <c r="CA31" i="2"/>
  <c r="CA33" i="2"/>
  <c r="CF35" i="2"/>
  <c r="CL39" i="2"/>
  <c r="BX27" i="2"/>
  <c r="AY48" i="2"/>
  <c r="AY109" i="2" s="1"/>
  <c r="AY108" i="2"/>
  <c r="T6" i="3" s="1"/>
  <c r="BG11" i="16"/>
  <c r="BH7" i="16"/>
  <c r="BX4" i="16"/>
  <c r="BS12" i="16"/>
  <c r="BB53" i="2"/>
  <c r="BD19" i="16"/>
  <c r="BE19" i="16" s="1"/>
  <c r="BF9" i="16"/>
  <c r="AZ106" i="2"/>
  <c r="U293" i="4"/>
  <c r="V289" i="4" s="1"/>
  <c r="V277" i="4"/>
  <c r="BI16" i="2" l="1"/>
  <c r="BH22" i="2"/>
  <c r="BH23" i="2"/>
  <c r="AJ164" i="2"/>
  <c r="AG14" i="4"/>
  <c r="AK115" i="2"/>
  <c r="AJ114" i="2"/>
  <c r="E7" i="3" s="1"/>
  <c r="E8" i="3" s="1"/>
  <c r="AO132" i="4"/>
  <c r="AP128" i="4" s="1"/>
  <c r="AP130" i="4" s="1"/>
  <c r="BC132" i="2"/>
  <c r="BD132" i="2" s="1"/>
  <c r="BD24" i="2"/>
  <c r="BE24" i="2"/>
  <c r="BF25" i="2"/>
  <c r="AN55" i="18"/>
  <c r="AN56" i="18" s="1"/>
  <c r="AN57" i="18" s="1"/>
  <c r="AO53" i="18" s="1"/>
  <c r="CE36" i="2"/>
  <c r="AR44" i="4"/>
  <c r="AZ120" i="2" s="1"/>
  <c r="W263" i="4"/>
  <c r="BL55" i="2"/>
  <c r="BM23" i="17"/>
  <c r="CB32" i="2"/>
  <c r="BA47" i="2"/>
  <c r="AN13" i="18"/>
  <c r="AN14" i="18" s="1"/>
  <c r="AN15" i="18" s="1"/>
  <c r="AO11" i="18" s="1"/>
  <c r="BN26" i="2"/>
  <c r="BA51" i="2"/>
  <c r="BA106" i="2" s="1"/>
  <c r="BC26" i="17"/>
  <c r="BB54" i="2" s="1"/>
  <c r="BB51" i="2" s="1"/>
  <c r="BE26" i="17"/>
  <c r="BD54" i="2" s="1"/>
  <c r="AO41" i="18"/>
  <c r="AO42" i="18" s="1"/>
  <c r="AO43" i="18" s="1"/>
  <c r="AP39" i="18" s="1"/>
  <c r="AN27" i="18"/>
  <c r="AN28" i="18" s="1"/>
  <c r="AN29" i="18" s="1"/>
  <c r="AO25" i="18" s="1"/>
  <c r="BO28" i="2"/>
  <c r="CB29" i="2"/>
  <c r="CB31" i="2"/>
  <c r="CB33" i="2"/>
  <c r="CG35" i="2"/>
  <c r="CM39" i="2"/>
  <c r="BY27" i="2"/>
  <c r="BH11" i="16"/>
  <c r="BI7" i="16"/>
  <c r="BY4" i="16"/>
  <c r="BT12" i="16"/>
  <c r="BD53" i="2"/>
  <c r="BC53" i="2"/>
  <c r="BF10" i="16" a="1"/>
  <c r="BF10" i="16" s="1"/>
  <c r="BF19" i="16" s="1"/>
  <c r="BG9" i="16"/>
  <c r="AZ109" i="2"/>
  <c r="AZ108" i="2"/>
  <c r="U6" i="3" s="1"/>
  <c r="V291" i="4"/>
  <c r="V278" i="4"/>
  <c r="BJ16" i="2" l="1"/>
  <c r="BI22" i="2"/>
  <c r="BI23" i="2"/>
  <c r="AG15" i="4"/>
  <c r="AH11" i="4" s="1"/>
  <c r="AH13" i="4" s="1"/>
  <c r="AK116" i="2"/>
  <c r="AK114" i="2" s="1"/>
  <c r="F7" i="3" s="1"/>
  <c r="F8" i="3" s="1"/>
  <c r="BG25" i="2"/>
  <c r="BF24" i="2"/>
  <c r="AO55" i="18"/>
  <c r="AO56" i="18" s="1"/>
  <c r="AO57" i="18" s="1"/>
  <c r="AP53" i="18" s="1"/>
  <c r="CF36" i="2"/>
  <c r="AY163" i="2"/>
  <c r="AR45" i="4"/>
  <c r="AS41" i="4" s="1"/>
  <c r="AS43" i="4" s="1"/>
  <c r="W264" i="4"/>
  <c r="BM55" i="2"/>
  <c r="BN23" i="17"/>
  <c r="BD51" i="2"/>
  <c r="CC32" i="2"/>
  <c r="CD32" i="2" s="1"/>
  <c r="BA108" i="2"/>
  <c r="V6" i="3" s="1"/>
  <c r="BA48" i="2"/>
  <c r="BA109" i="2" s="1"/>
  <c r="BB47" i="2"/>
  <c r="BB48" i="2" s="1"/>
  <c r="BD22" i="2"/>
  <c r="BD47" i="2" s="1"/>
  <c r="AO13" i="18"/>
  <c r="AO14" i="18" s="1"/>
  <c r="AO15" i="18" s="1"/>
  <c r="AP11" i="18" s="1"/>
  <c r="BO26" i="2"/>
  <c r="BD26" i="17"/>
  <c r="BC54" i="2" s="1"/>
  <c r="BC51" i="2" s="1"/>
  <c r="BC106" i="2" s="1"/>
  <c r="AP41" i="18"/>
  <c r="AP42" i="18" s="1"/>
  <c r="AP43" i="18" s="1"/>
  <c r="AQ39" i="18" s="1"/>
  <c r="AO27" i="18"/>
  <c r="AO28" i="18" s="1"/>
  <c r="AO29" i="18" s="1"/>
  <c r="AP25" i="18" s="1"/>
  <c r="BP28" i="2"/>
  <c r="BQ28" i="2" s="1"/>
  <c r="CC29" i="2"/>
  <c r="CD29" i="2" s="1"/>
  <c r="CC31" i="2"/>
  <c r="CD31" i="2" s="1"/>
  <c r="CC33" i="2"/>
  <c r="CD33" i="2" s="1"/>
  <c r="CH35" i="2"/>
  <c r="CN39" i="2"/>
  <c r="BZ27" i="2"/>
  <c r="BI11" i="16"/>
  <c r="BJ7" i="16"/>
  <c r="BZ4" i="16"/>
  <c r="BU12" i="16"/>
  <c r="BB106" i="2"/>
  <c r="BG10" i="16"/>
  <c r="BE53" i="2"/>
  <c r="BG19" i="16"/>
  <c r="BH9" i="16"/>
  <c r="V292" i="4"/>
  <c r="V279" i="4"/>
  <c r="W275" i="4" s="1"/>
  <c r="BK16" i="2" l="1"/>
  <c r="BJ22" i="2"/>
  <c r="BJ23" i="2"/>
  <c r="AK164" i="2"/>
  <c r="AH14" i="4"/>
  <c r="AL115" i="2"/>
  <c r="BE131" i="2"/>
  <c r="AP131" i="4"/>
  <c r="BG24" i="2"/>
  <c r="BH25" i="2"/>
  <c r="AP55" i="18"/>
  <c r="AP56" i="18" s="1"/>
  <c r="AP57" i="18" s="1"/>
  <c r="AQ53" i="18" s="1"/>
  <c r="CG36" i="2"/>
  <c r="BD48" i="2"/>
  <c r="BA119" i="2"/>
  <c r="W265" i="4"/>
  <c r="X261" i="4" s="1"/>
  <c r="BN55" i="2"/>
  <c r="BO23" i="17"/>
  <c r="CE32" i="2"/>
  <c r="BC47" i="2"/>
  <c r="AP13" i="18"/>
  <c r="AP14" i="18" s="1"/>
  <c r="AP15" i="18" s="1"/>
  <c r="AQ11" i="18" s="1"/>
  <c r="BP26" i="2"/>
  <c r="BQ26" i="2" s="1"/>
  <c r="BF26" i="17"/>
  <c r="BE54" i="2" s="1"/>
  <c r="AQ41" i="18"/>
  <c r="AQ42" i="18" s="1"/>
  <c r="AQ43" i="18" s="1"/>
  <c r="AR39" i="18" s="1"/>
  <c r="AP27" i="18"/>
  <c r="AP28" i="18" s="1"/>
  <c r="AP29" i="18" s="1"/>
  <c r="AQ25" i="18" s="1"/>
  <c r="BR28" i="2"/>
  <c r="CE29" i="2"/>
  <c r="CE31" i="2"/>
  <c r="CE33" i="2"/>
  <c r="CI35" i="2"/>
  <c r="CO39" i="2"/>
  <c r="CA27" i="2"/>
  <c r="BJ11" i="16"/>
  <c r="BK7" i="16"/>
  <c r="CA4" i="16"/>
  <c r="BV12" i="16"/>
  <c r="BB109" i="2"/>
  <c r="BB108" i="2"/>
  <c r="W6" i="3" s="1"/>
  <c r="BF53" i="2"/>
  <c r="BI9" i="16"/>
  <c r="BH10" i="16"/>
  <c r="V293" i="4"/>
  <c r="W289" i="4" s="1"/>
  <c r="W277" i="4"/>
  <c r="BL16" i="2" l="1"/>
  <c r="BK22" i="2"/>
  <c r="BK23" i="2"/>
  <c r="AH15" i="4"/>
  <c r="AI11" i="4" s="1"/>
  <c r="AI13" i="4" s="1"/>
  <c r="AL116" i="2"/>
  <c r="AL164" i="2" s="1"/>
  <c r="BH24" i="2"/>
  <c r="BI25" i="2"/>
  <c r="AP132" i="4"/>
  <c r="AQ128" i="4" s="1"/>
  <c r="AQ130" i="4" s="1"/>
  <c r="BE132" i="2"/>
  <c r="AQ55" i="18"/>
  <c r="AQ56" i="18" s="1"/>
  <c r="AQ57" i="18" s="1"/>
  <c r="AR53" i="18" s="1"/>
  <c r="CH36" i="2"/>
  <c r="AS44" i="4"/>
  <c r="BA120" i="2" s="1"/>
  <c r="X263" i="4"/>
  <c r="BO55" i="2"/>
  <c r="BP23" i="17"/>
  <c r="CF32" i="2"/>
  <c r="BE47" i="2"/>
  <c r="AQ13" i="18"/>
  <c r="AQ14" i="18" s="1"/>
  <c r="AQ15" i="18" s="1"/>
  <c r="AR11" i="18" s="1"/>
  <c r="BR26" i="2"/>
  <c r="BE51" i="2"/>
  <c r="BE106" i="2" s="1"/>
  <c r="BG26" i="17"/>
  <c r="BF54" i="2" s="1"/>
  <c r="AR41" i="18"/>
  <c r="AR42" i="18" s="1"/>
  <c r="AR43" i="18" s="1"/>
  <c r="AS39" i="18" s="1"/>
  <c r="AQ27" i="18"/>
  <c r="AQ28" i="18" s="1"/>
  <c r="AQ29" i="18" s="1"/>
  <c r="AR25" i="18" s="1"/>
  <c r="BS28" i="2"/>
  <c r="CF29" i="2"/>
  <c r="CF31" i="2"/>
  <c r="CF33" i="2"/>
  <c r="CJ35" i="2"/>
  <c r="CP39" i="2"/>
  <c r="CQ39" i="2" s="1"/>
  <c r="C39" i="2" s="1"/>
  <c r="CB27" i="2"/>
  <c r="BC48" i="2"/>
  <c r="BC109" i="2" s="1"/>
  <c r="BC108" i="2"/>
  <c r="X6" i="3" s="1"/>
  <c r="BI10" i="16"/>
  <c r="BJ10" i="16" s="1"/>
  <c r="BK10" i="16" s="1"/>
  <c r="BL10" i="16" s="1"/>
  <c r="BM10" i="16" s="1"/>
  <c r="BN10" i="16" s="1"/>
  <c r="BO10" i="16" s="1"/>
  <c r="BP10" i="16" s="1"/>
  <c r="BQ10" i="16" s="1"/>
  <c r="BR10" i="16"/>
  <c r="BH19" i="16"/>
  <c r="BK11" i="16"/>
  <c r="BL7" i="16"/>
  <c r="CB4" i="16"/>
  <c r="BW12" i="16"/>
  <c r="BG53" i="2"/>
  <c r="BI19" i="16"/>
  <c r="BJ9" i="16"/>
  <c r="W291" i="4"/>
  <c r="W278" i="4"/>
  <c r="BM16" i="2" l="1"/>
  <c r="BL22" i="2"/>
  <c r="BL23" i="2"/>
  <c r="AI14" i="4"/>
  <c r="AM115" i="2"/>
  <c r="AL114" i="2"/>
  <c r="G7" i="3" s="1"/>
  <c r="G8" i="3" s="1"/>
  <c r="BI24" i="2"/>
  <c r="BJ25" i="2"/>
  <c r="AR55" i="18"/>
  <c r="AR56" i="18" s="1"/>
  <c r="AR57" i="18" s="1"/>
  <c r="AS53" i="18" s="1"/>
  <c r="CI36" i="2"/>
  <c r="BE108" i="2"/>
  <c r="Z6" i="3" s="1"/>
  <c r="AZ163" i="2"/>
  <c r="AS45" i="4"/>
  <c r="AT41" i="4" s="1"/>
  <c r="AT43" i="4" s="1"/>
  <c r="X264" i="4"/>
  <c r="BP55" i="2"/>
  <c r="BQ23" i="17"/>
  <c r="CG32" i="2"/>
  <c r="BE48" i="2"/>
  <c r="BE109" i="2" s="1"/>
  <c r="BF47" i="2"/>
  <c r="AR13" i="18"/>
  <c r="AR14" i="18" s="1"/>
  <c r="AR15" i="18" s="1"/>
  <c r="AS11" i="18" s="1"/>
  <c r="BS26" i="2"/>
  <c r="BH26" i="17"/>
  <c r="BG54" i="2" s="1"/>
  <c r="BG51" i="2" s="1"/>
  <c r="BG106" i="2" s="1"/>
  <c r="AS41" i="18"/>
  <c r="AS42" i="18" s="1"/>
  <c r="AS43" i="18" s="1"/>
  <c r="AT39" i="18" s="1"/>
  <c r="AR27" i="18"/>
  <c r="AR28" i="18" s="1"/>
  <c r="AR29" i="18" s="1"/>
  <c r="AS25" i="18" s="1"/>
  <c r="BT28" i="2"/>
  <c r="CG29" i="2"/>
  <c r="CG31" i="2"/>
  <c r="CG33" i="2"/>
  <c r="CK35" i="2"/>
  <c r="CC27" i="2"/>
  <c r="CD27" i="2" s="1"/>
  <c r="BF51" i="2"/>
  <c r="BF106" i="2" s="1"/>
  <c r="BL11" i="16"/>
  <c r="BM7" i="16"/>
  <c r="CC4" i="16"/>
  <c r="BX12" i="16"/>
  <c r="BH53" i="2"/>
  <c r="BJ19" i="16"/>
  <c r="BK9" i="16"/>
  <c r="W292" i="4"/>
  <c r="W279" i="4"/>
  <c r="X275" i="4" s="1"/>
  <c r="BN16" i="2" l="1"/>
  <c r="BM22" i="2"/>
  <c r="BM23" i="2"/>
  <c r="AI15" i="4"/>
  <c r="AJ11" i="4" s="1"/>
  <c r="AJ13" i="4" s="1"/>
  <c r="AM116" i="2"/>
  <c r="AM164" i="2" s="1"/>
  <c r="BJ24" i="2"/>
  <c r="BK25" i="2"/>
  <c r="BF131" i="2"/>
  <c r="AQ131" i="4"/>
  <c r="AS55" i="18"/>
  <c r="AS56" i="18" s="1"/>
  <c r="AS57" i="18" s="1"/>
  <c r="AT53" i="18" s="1"/>
  <c r="CJ36" i="2"/>
  <c r="BF48" i="2"/>
  <c r="BF108" i="2"/>
  <c r="AA6" i="3" s="1"/>
  <c r="BB119" i="2"/>
  <c r="X265" i="4"/>
  <c r="Y261" i="4" s="1"/>
  <c r="BR55" i="2"/>
  <c r="BS23" i="17"/>
  <c r="BQ55" i="2"/>
  <c r="BR23" i="17"/>
  <c r="CH32" i="2"/>
  <c r="BG47" i="2"/>
  <c r="BG108" i="2" s="1"/>
  <c r="AB6" i="3" s="1"/>
  <c r="AS13" i="18"/>
  <c r="AS14" i="18" s="1"/>
  <c r="AS15" i="18" s="1"/>
  <c r="AT11" i="18" s="1"/>
  <c r="BT26" i="2"/>
  <c r="BI26" i="17"/>
  <c r="BH54" i="2" s="1"/>
  <c r="BH51" i="2" s="1"/>
  <c r="AT41" i="18"/>
  <c r="AT42" i="18" s="1"/>
  <c r="AT43" i="18" s="1"/>
  <c r="AU39" i="18" s="1"/>
  <c r="AS27" i="18"/>
  <c r="AS28" i="18" s="1"/>
  <c r="AS29" i="18" s="1"/>
  <c r="AT25" i="18" s="1"/>
  <c r="BU28" i="2"/>
  <c r="CH29" i="2"/>
  <c r="CH31" i="2"/>
  <c r="CH33" i="2"/>
  <c r="CL35" i="2"/>
  <c r="CE27" i="2"/>
  <c r="BM11" i="16"/>
  <c r="BN7" i="16"/>
  <c r="CD4" i="16"/>
  <c r="BY12" i="16"/>
  <c r="BI53" i="2"/>
  <c r="BK19" i="16"/>
  <c r="BL9" i="16"/>
  <c r="CE4" i="16"/>
  <c r="W293" i="4"/>
  <c r="X289" i="4" s="1"/>
  <c r="X277" i="4"/>
  <c r="BO16" i="2" l="1"/>
  <c r="BN22" i="2"/>
  <c r="BN23" i="2"/>
  <c r="AM114" i="2"/>
  <c r="H7" i="3" s="1"/>
  <c r="H8" i="3" s="1"/>
  <c r="AJ14" i="4"/>
  <c r="AN115" i="2"/>
  <c r="BL25" i="2"/>
  <c r="BK24" i="2"/>
  <c r="AQ132" i="4"/>
  <c r="AR128" i="4" s="1"/>
  <c r="AR130" i="4" s="1"/>
  <c r="BF132" i="2"/>
  <c r="AT55" i="18"/>
  <c r="AT56" i="18" s="1"/>
  <c r="AT57" i="18" s="1"/>
  <c r="AU53" i="18" s="1"/>
  <c r="CK36" i="2"/>
  <c r="BF109" i="2"/>
  <c r="AT44" i="4"/>
  <c r="BB120" i="2" s="1"/>
  <c r="Y263" i="4"/>
  <c r="BS55" i="2"/>
  <c r="BT23" i="17"/>
  <c r="CI32" i="2"/>
  <c r="BH47" i="2"/>
  <c r="AT13" i="18"/>
  <c r="AT14" i="18" s="1"/>
  <c r="AT15" i="18" s="1"/>
  <c r="AU11" i="18" s="1"/>
  <c r="BU26" i="2"/>
  <c r="BJ26" i="17"/>
  <c r="BI54" i="2" s="1"/>
  <c r="AU41" i="18"/>
  <c r="AU42" i="18" s="1"/>
  <c r="AU43" i="18" s="1"/>
  <c r="AV39" i="18" s="1"/>
  <c r="AT27" i="18"/>
  <c r="AT28" i="18" s="1"/>
  <c r="AT29" i="18" s="1"/>
  <c r="AU25" i="18" s="1"/>
  <c r="BV28" i="2"/>
  <c r="CI29" i="2"/>
  <c r="CI31" i="2"/>
  <c r="CI33" i="2"/>
  <c r="CM35" i="2"/>
  <c r="CF27" i="2"/>
  <c r="BG48" i="2"/>
  <c r="BG109" i="2" s="1"/>
  <c r="BN11" i="16"/>
  <c r="BO7" i="16"/>
  <c r="CF4" i="16"/>
  <c r="BZ12" i="16"/>
  <c r="BJ53" i="2"/>
  <c r="BL19" i="16"/>
  <c r="BM9" i="16"/>
  <c r="BH106" i="2"/>
  <c r="X291" i="4"/>
  <c r="X278" i="4"/>
  <c r="BP16" i="2" l="1"/>
  <c r="BO22" i="2"/>
  <c r="BO23" i="2"/>
  <c r="AJ15" i="4"/>
  <c r="AK11" i="4" s="1"/>
  <c r="AK13" i="4" s="1"/>
  <c r="AN116" i="2"/>
  <c r="AN164" i="2" s="1"/>
  <c r="BL24" i="2"/>
  <c r="BM25" i="2"/>
  <c r="BM24" i="2" s="1"/>
  <c r="AU55" i="18"/>
  <c r="AU56" i="18" s="1"/>
  <c r="AU57" i="18" s="1"/>
  <c r="AV53" i="18" s="1"/>
  <c r="CL36" i="2"/>
  <c r="BH48" i="2"/>
  <c r="BH108" i="2"/>
  <c r="AC6" i="3" s="1"/>
  <c r="BA163" i="2"/>
  <c r="AT45" i="4"/>
  <c r="AU41" i="4" s="1"/>
  <c r="AU43" i="4" s="1"/>
  <c r="Y264" i="4"/>
  <c r="Y265" i="4" s="1"/>
  <c r="BT55" i="2"/>
  <c r="BU23" i="17"/>
  <c r="CJ32" i="2"/>
  <c r="BI47" i="2"/>
  <c r="AU13" i="18"/>
  <c r="AU14" i="18" s="1"/>
  <c r="AU15" i="18" s="1"/>
  <c r="AV11" i="18" s="1"/>
  <c r="BV26" i="2"/>
  <c r="BI51" i="2"/>
  <c r="BI106" i="2" s="1"/>
  <c r="BK26" i="17"/>
  <c r="BJ54" i="2" s="1"/>
  <c r="BJ51" i="2" s="1"/>
  <c r="AV41" i="18"/>
  <c r="AV42" i="18" s="1"/>
  <c r="AV43" i="18" s="1"/>
  <c r="AW39" i="18" s="1"/>
  <c r="AU27" i="18"/>
  <c r="AU28" i="18" s="1"/>
  <c r="AU29" i="18" s="1"/>
  <c r="AV25" i="18" s="1"/>
  <c r="BW28" i="2"/>
  <c r="CJ29" i="2"/>
  <c r="CJ31" i="2"/>
  <c r="CJ33" i="2"/>
  <c r="CN35" i="2"/>
  <c r="CG27" i="2"/>
  <c r="BO11" i="16"/>
  <c r="BP7" i="16"/>
  <c r="CG4" i="16"/>
  <c r="CA12" i="16"/>
  <c r="BK53" i="2"/>
  <c r="BM19" i="16"/>
  <c r="BN9" i="16"/>
  <c r="X292" i="4"/>
  <c r="X279" i="4"/>
  <c r="Y275" i="4" s="1"/>
  <c r="BR16" i="2" l="1"/>
  <c r="BP22" i="2"/>
  <c r="BP23" i="2"/>
  <c r="BQ23" i="2" s="1"/>
  <c r="AK14" i="4"/>
  <c r="AO115" i="2"/>
  <c r="BN25" i="2"/>
  <c r="BN24" i="2" s="1"/>
  <c r="AR131" i="4"/>
  <c r="BG131" i="2"/>
  <c r="AV55" i="18"/>
  <c r="AV56" i="18" s="1"/>
  <c r="AV57" i="18" s="1"/>
  <c r="AW53" i="18" s="1"/>
  <c r="CM36" i="2"/>
  <c r="BI108" i="2"/>
  <c r="AD6" i="3" s="1"/>
  <c r="BH109" i="2"/>
  <c r="BC119" i="2"/>
  <c r="BU55" i="2"/>
  <c r="BV23" i="17"/>
  <c r="CK32" i="2"/>
  <c r="BI48" i="2"/>
  <c r="BI109" i="2" s="1"/>
  <c r="BJ47" i="2"/>
  <c r="AV13" i="18"/>
  <c r="AV14" i="18" s="1"/>
  <c r="AV15" i="18" s="1"/>
  <c r="AW11" i="18" s="1"/>
  <c r="BW26" i="2"/>
  <c r="BL26" i="17"/>
  <c r="BK54" i="2" s="1"/>
  <c r="BK51" i="2" s="1"/>
  <c r="BK106" i="2" s="1"/>
  <c r="AW41" i="18"/>
  <c r="AW42" i="18" s="1"/>
  <c r="AW43" i="18" s="1"/>
  <c r="AX39" i="18" s="1"/>
  <c r="AV27" i="18"/>
  <c r="AV28" i="18" s="1"/>
  <c r="AV29" i="18" s="1"/>
  <c r="AW25" i="18" s="1"/>
  <c r="BX28" i="2"/>
  <c r="CK29" i="2"/>
  <c r="CK31" i="2"/>
  <c r="CK33" i="2"/>
  <c r="CO35" i="2"/>
  <c r="CH27" i="2"/>
  <c r="BP11" i="16"/>
  <c r="BQ7" i="16"/>
  <c r="BR7" i="16" s="1"/>
  <c r="CH4" i="16"/>
  <c r="CB12" i="16"/>
  <c r="BJ106" i="2"/>
  <c r="BL53" i="2"/>
  <c r="BN19" i="16"/>
  <c r="BO9" i="16"/>
  <c r="X293" i="4"/>
  <c r="Y289" i="4" s="1"/>
  <c r="Y277" i="4"/>
  <c r="BS16" i="2" l="1"/>
  <c r="BR22" i="2"/>
  <c r="BR23" i="2"/>
  <c r="AK15" i="4"/>
  <c r="AL11" i="4" s="1"/>
  <c r="AL13" i="4" s="1"/>
  <c r="AO116" i="2"/>
  <c r="AO164" i="2" s="1"/>
  <c r="BO25" i="2"/>
  <c r="BO24" i="2" s="1"/>
  <c r="AR132" i="4"/>
  <c r="AS128" i="4" s="1"/>
  <c r="AS130" i="4" s="1"/>
  <c r="BG132" i="2"/>
  <c r="AW55" i="18"/>
  <c r="AW56" i="18" s="1"/>
  <c r="AW57" i="18" s="1"/>
  <c r="AX53" i="18" s="1"/>
  <c r="CN36" i="2"/>
  <c r="BJ48" i="2"/>
  <c r="BJ108" i="2"/>
  <c r="AE6" i="3" s="1"/>
  <c r="AU44" i="4"/>
  <c r="BC120" i="2" s="1"/>
  <c r="BV55" i="2"/>
  <c r="BW23" i="17"/>
  <c r="AN114" i="2"/>
  <c r="I7" i="3" s="1"/>
  <c r="CL32" i="2"/>
  <c r="BK47" i="2"/>
  <c r="BK108" i="2" s="1"/>
  <c r="AF6" i="3" s="1"/>
  <c r="AW13" i="18"/>
  <c r="AW14" i="18" s="1"/>
  <c r="AW15" i="18" s="1"/>
  <c r="AX11" i="18" s="1"/>
  <c r="BX26" i="2"/>
  <c r="BM26" i="17"/>
  <c r="BL54" i="2" s="1"/>
  <c r="AX41" i="18"/>
  <c r="AX42" i="18" s="1"/>
  <c r="AX43" i="18" s="1"/>
  <c r="AY39" i="18" s="1"/>
  <c r="AW27" i="18"/>
  <c r="AW28" i="18" s="1"/>
  <c r="AW29" i="18" s="1"/>
  <c r="AX25" i="18" s="1"/>
  <c r="BY28" i="2"/>
  <c r="CL29" i="2"/>
  <c r="CL31" i="2"/>
  <c r="CL33" i="2"/>
  <c r="CP35" i="2"/>
  <c r="CQ35" i="2" s="1"/>
  <c r="C35" i="2" s="1"/>
  <c r="CI27" i="2"/>
  <c r="BQ11" i="16"/>
  <c r="BR11" i="16" s="1"/>
  <c r="BS7" i="16"/>
  <c r="CI4" i="16"/>
  <c r="CC12" i="16"/>
  <c r="BM53" i="2"/>
  <c r="BO19" i="16"/>
  <c r="BP9" i="16"/>
  <c r="Y291" i="4"/>
  <c r="Y278" i="4"/>
  <c r="BT16" i="2" l="1"/>
  <c r="BS22" i="2"/>
  <c r="BS23" i="2"/>
  <c r="AL14" i="4"/>
  <c r="AP115" i="2"/>
  <c r="BP25" i="2"/>
  <c r="BQ25" i="2" s="1"/>
  <c r="CO36" i="2"/>
  <c r="AX55" i="18"/>
  <c r="AX56" i="18" s="1"/>
  <c r="AX57" i="18" s="1"/>
  <c r="AY53" i="18" s="1"/>
  <c r="BJ109" i="2"/>
  <c r="BB163" i="2"/>
  <c r="AU45" i="4"/>
  <c r="AV41" i="4" s="1"/>
  <c r="AV43" i="4" s="1"/>
  <c r="BK48" i="2"/>
  <c r="BK109" i="2" s="1"/>
  <c r="BW55" i="2"/>
  <c r="BX23" i="17"/>
  <c r="I8" i="3"/>
  <c r="CM32" i="2"/>
  <c r="BL47" i="2"/>
  <c r="AX13" i="18"/>
  <c r="AX14" i="18" s="1"/>
  <c r="AX15" i="18" s="1"/>
  <c r="AY11" i="18" s="1"/>
  <c r="BY26" i="2"/>
  <c r="BR22" i="17"/>
  <c r="BL51" i="2"/>
  <c r="BL106" i="2" s="1"/>
  <c r="BN26" i="17"/>
  <c r="BM54" i="2" s="1"/>
  <c r="BM51" i="2" s="1"/>
  <c r="AY41" i="18"/>
  <c r="AY42" i="18" s="1"/>
  <c r="AY43" i="18" s="1"/>
  <c r="AZ39" i="18" s="1"/>
  <c r="AX27" i="18"/>
  <c r="AX28" i="18" s="1"/>
  <c r="AX29" i="18" s="1"/>
  <c r="AY25" i="18" s="1"/>
  <c r="BZ28" i="2"/>
  <c r="CM29" i="2"/>
  <c r="CM31" i="2"/>
  <c r="CM33" i="2"/>
  <c r="CJ27" i="2"/>
  <c r="BS11" i="16"/>
  <c r="BT7" i="16"/>
  <c r="CJ4" i="16"/>
  <c r="CD12" i="16"/>
  <c r="CE12" i="16" s="1"/>
  <c r="BN53" i="2"/>
  <c r="BP19" i="16"/>
  <c r="BQ9" i="16"/>
  <c r="BR9" i="16" s="1"/>
  <c r="Y292" i="4"/>
  <c r="Y279" i="4"/>
  <c r="BU16" i="2" l="1"/>
  <c r="BT22" i="2"/>
  <c r="BT23" i="2"/>
  <c r="AL15" i="4"/>
  <c r="AM11" i="4" s="1"/>
  <c r="AM13" i="4" s="1"/>
  <c r="AP116" i="2"/>
  <c r="AP163" i="2"/>
  <c r="AQ163" i="2" s="1"/>
  <c r="AQ115" i="2"/>
  <c r="BP24" i="2"/>
  <c r="BQ24" i="2" s="1"/>
  <c r="BR25" i="2"/>
  <c r="BR24" i="2" s="1"/>
  <c r="CP36" i="2"/>
  <c r="CQ36" i="2" s="1"/>
  <c r="C36" i="2" s="1"/>
  <c r="AY55" i="18"/>
  <c r="AY56" i="18" s="1"/>
  <c r="AY57" i="18" s="1"/>
  <c r="AZ53" i="18" s="1"/>
  <c r="AZ55" i="18" s="1"/>
  <c r="AZ56" i="18" s="1"/>
  <c r="AZ57" i="18" s="1"/>
  <c r="BA53" i="18" s="1"/>
  <c r="AS131" i="4"/>
  <c r="BH131" i="2"/>
  <c r="BL48" i="2"/>
  <c r="BL108" i="2"/>
  <c r="AG6" i="3" s="1"/>
  <c r="BE119" i="2"/>
  <c r="BX55" i="2"/>
  <c r="BY23" i="17"/>
  <c r="CN32" i="2"/>
  <c r="BM47" i="2"/>
  <c r="AY13" i="18"/>
  <c r="AY14" i="18" s="1"/>
  <c r="AY15" i="18" s="1"/>
  <c r="AZ11" i="18" s="1"/>
  <c r="BZ26" i="2"/>
  <c r="BO26" i="17"/>
  <c r="BN54" i="2" s="1"/>
  <c r="BN51" i="2" s="1"/>
  <c r="BN106" i="2" s="1"/>
  <c r="AZ41" i="18"/>
  <c r="AZ42" i="18" s="1"/>
  <c r="AZ43" i="18" s="1"/>
  <c r="BA39" i="18" s="1"/>
  <c r="AY27" i="18"/>
  <c r="AY28" i="18" s="1"/>
  <c r="AY29" i="18" s="1"/>
  <c r="AZ25" i="18" s="1"/>
  <c r="CA28" i="2"/>
  <c r="CN29" i="2"/>
  <c r="CN31" i="2"/>
  <c r="CN33" i="2"/>
  <c r="CK27" i="2"/>
  <c r="BT11" i="16"/>
  <c r="BU7" i="16"/>
  <c r="CK4" i="16"/>
  <c r="CF12" i="16"/>
  <c r="BM106" i="2"/>
  <c r="BO53" i="2"/>
  <c r="BQ19" i="16"/>
  <c r="BR19" i="16" s="1"/>
  <c r="BS9" i="16"/>
  <c r="Y293" i="4"/>
  <c r="BV16" i="2" l="1"/>
  <c r="BU22" i="2"/>
  <c r="BU23" i="2"/>
  <c r="AM14" i="4"/>
  <c r="AR115" i="2"/>
  <c r="AP164" i="2"/>
  <c r="AQ116" i="2"/>
  <c r="BS25" i="2"/>
  <c r="BT25" i="2" s="1"/>
  <c r="AS132" i="4"/>
  <c r="AT128" i="4" s="1"/>
  <c r="AT130" i="4" s="1"/>
  <c r="BH132" i="2"/>
  <c r="BL109" i="2"/>
  <c r="BM48" i="2"/>
  <c r="BM108" i="2"/>
  <c r="AH6" i="3" s="1"/>
  <c r="AV44" i="4"/>
  <c r="BE120" i="2" s="1"/>
  <c r="BY55" i="2"/>
  <c r="BZ23" i="17"/>
  <c r="CO32" i="2"/>
  <c r="BN47" i="2"/>
  <c r="BN108" i="2" s="1"/>
  <c r="AI6" i="3" s="1"/>
  <c r="AZ13" i="18"/>
  <c r="AZ14" i="18" s="1"/>
  <c r="AZ15" i="18" s="1"/>
  <c r="BA11" i="18" s="1"/>
  <c r="CA26" i="2"/>
  <c r="BP26" i="17"/>
  <c r="BO54" i="2" s="1"/>
  <c r="BR24" i="17"/>
  <c r="BR26" i="17" s="1"/>
  <c r="BQ54" i="2" s="1"/>
  <c r="BA55" i="18"/>
  <c r="BA56" i="18" s="1"/>
  <c r="BA57" i="18" s="1"/>
  <c r="BB53" i="18" s="1"/>
  <c r="BA41" i="18"/>
  <c r="BA42" i="18" s="1"/>
  <c r="BA43" i="18" s="1"/>
  <c r="BB39" i="18" s="1"/>
  <c r="AZ27" i="18"/>
  <c r="AZ28" i="18" s="1"/>
  <c r="AZ29" i="18" s="1"/>
  <c r="BA25" i="18" s="1"/>
  <c r="CB28" i="2"/>
  <c r="CO29" i="2"/>
  <c r="CO31" i="2"/>
  <c r="CO33" i="2"/>
  <c r="CL27" i="2"/>
  <c r="BU11" i="16"/>
  <c r="BV7" i="16"/>
  <c r="CL4" i="16"/>
  <c r="CG12" i="16"/>
  <c r="BQ53" i="2"/>
  <c r="BP53" i="2"/>
  <c r="BS10" i="16" a="1"/>
  <c r="BS10" i="16" s="1"/>
  <c r="BS19" i="16" s="1"/>
  <c r="BT9" i="16"/>
  <c r="BW16" i="2" l="1"/>
  <c r="BV22" i="2"/>
  <c r="BV23" i="2"/>
  <c r="AM15" i="4"/>
  <c r="AN11" i="4" s="1"/>
  <c r="AN13" i="4" s="1"/>
  <c r="AR116" i="2"/>
  <c r="BS24" i="2"/>
  <c r="BM109" i="2"/>
  <c r="BD119" i="2"/>
  <c r="BC163" i="2"/>
  <c r="BD163" i="2" s="1"/>
  <c r="AV45" i="4"/>
  <c r="AW41" i="4" s="1"/>
  <c r="AW43" i="4" s="1"/>
  <c r="BN48" i="2"/>
  <c r="BN109" i="2" s="1"/>
  <c r="BZ55" i="2"/>
  <c r="CA23" i="17"/>
  <c r="AO114" i="2"/>
  <c r="J7" i="3" s="1"/>
  <c r="CP32" i="2"/>
  <c r="CQ32" i="2" s="1"/>
  <c r="C32" i="2" s="1"/>
  <c r="BO47" i="2"/>
  <c r="BQ22" i="2"/>
  <c r="BA13" i="18"/>
  <c r="BA14" i="18" s="1"/>
  <c r="BA15" i="18" s="1"/>
  <c r="BB11" i="18" s="1"/>
  <c r="CB26" i="2"/>
  <c r="BT24" i="2"/>
  <c r="BU25" i="2"/>
  <c r="BO51" i="2"/>
  <c r="BO106" i="2" s="1"/>
  <c r="BQ26" i="17"/>
  <c r="BP54" i="2" s="1"/>
  <c r="BP51" i="2" s="1"/>
  <c r="BB55" i="18"/>
  <c r="BB56" i="18" s="1"/>
  <c r="BB57" i="18" s="1"/>
  <c r="BC53" i="18" s="1"/>
  <c r="BB41" i="18"/>
  <c r="BB42" i="18" s="1"/>
  <c r="BB43" i="18" s="1"/>
  <c r="BC39" i="18" s="1"/>
  <c r="BA27" i="18"/>
  <c r="BA28" i="18" s="1"/>
  <c r="BA29" i="18" s="1"/>
  <c r="BB25" i="18" s="1"/>
  <c r="CC28" i="2"/>
  <c r="CD28" i="2" s="1"/>
  <c r="CP29" i="2"/>
  <c r="CQ29" i="2" s="1"/>
  <c r="C29" i="2" s="1"/>
  <c r="CP31" i="2"/>
  <c r="CQ31" i="2" s="1"/>
  <c r="C31" i="2" s="1"/>
  <c r="CP33" i="2"/>
  <c r="CQ33" i="2" s="1"/>
  <c r="C33" i="2" s="1"/>
  <c r="CM27" i="2"/>
  <c r="BQ51" i="2"/>
  <c r="BQ106" i="2" s="1"/>
  <c r="BV11" i="16"/>
  <c r="BW7" i="16"/>
  <c r="CM4" i="16"/>
  <c r="CH12" i="16"/>
  <c r="BT10" i="16"/>
  <c r="BT19" i="16" s="1"/>
  <c r="BR53" i="2"/>
  <c r="BU9" i="16"/>
  <c r="BX16" i="2" l="1"/>
  <c r="BW22" i="2"/>
  <c r="BW23" i="2"/>
  <c r="AR164" i="2"/>
  <c r="AN14" i="4"/>
  <c r="AS115" i="2"/>
  <c r="AT131" i="4"/>
  <c r="BI131" i="2"/>
  <c r="BO108" i="2"/>
  <c r="AJ6" i="3" s="1"/>
  <c r="BF119" i="2"/>
  <c r="BD120" i="2"/>
  <c r="BO48" i="2"/>
  <c r="BO109" i="2" s="1"/>
  <c r="CA55" i="2"/>
  <c r="CB23" i="17"/>
  <c r="J8" i="3"/>
  <c r="BP47" i="2"/>
  <c r="BB13" i="18"/>
  <c r="BB14" i="18" s="1"/>
  <c r="BB15" i="18" s="1"/>
  <c r="BC11" i="18" s="1"/>
  <c r="CC26" i="2"/>
  <c r="CD26" i="2" s="1"/>
  <c r="BU24" i="2"/>
  <c r="BV25" i="2"/>
  <c r="BS26" i="17"/>
  <c r="BR54" i="2" s="1"/>
  <c r="BR51" i="2" s="1"/>
  <c r="BR106" i="2" s="1"/>
  <c r="BC55" i="18"/>
  <c r="BC56" i="18" s="1"/>
  <c r="BC57" i="18" s="1"/>
  <c r="BD53" i="18" s="1"/>
  <c r="BC41" i="18"/>
  <c r="BC42" i="18" s="1"/>
  <c r="BC43" i="18" s="1"/>
  <c r="BD39" i="18" s="1"/>
  <c r="BB27" i="18"/>
  <c r="BB28" i="18" s="1"/>
  <c r="BB29" i="18" s="1"/>
  <c r="BC25" i="18" s="1"/>
  <c r="CE28" i="2"/>
  <c r="CN27" i="2"/>
  <c r="BW11" i="16"/>
  <c r="BX7" i="16"/>
  <c r="CN4" i="16"/>
  <c r="CI12" i="16"/>
  <c r="BP106" i="2"/>
  <c r="BS53" i="2"/>
  <c r="BV9" i="16"/>
  <c r="BU10" i="16"/>
  <c r="BY16" i="2" l="1"/>
  <c r="BX22" i="2"/>
  <c r="BX23" i="2"/>
  <c r="AN15" i="4"/>
  <c r="AO11" i="4" s="1"/>
  <c r="AO13" i="4" s="1"/>
  <c r="AS116" i="2"/>
  <c r="AT132" i="4"/>
  <c r="AU128" i="4" s="1"/>
  <c r="AU130" i="4" s="1"/>
  <c r="BI132" i="2"/>
  <c r="BP108" i="2"/>
  <c r="AK6" i="3" s="1"/>
  <c r="BE163" i="2"/>
  <c r="AW44" i="4"/>
  <c r="BF120" i="2" s="1"/>
  <c r="CB55" i="2"/>
  <c r="CC23" i="17"/>
  <c r="BP48" i="2"/>
  <c r="BP109" i="2" s="1"/>
  <c r="BQ47" i="2"/>
  <c r="BQ108" i="2" s="1"/>
  <c r="AL6" i="3" s="1"/>
  <c r="BR47" i="2"/>
  <c r="BR108" i="2" s="1"/>
  <c r="AM6" i="3" s="1"/>
  <c r="BC13" i="18"/>
  <c r="BC14" i="18" s="1"/>
  <c r="BC15" i="18" s="1"/>
  <c r="BD11" i="18" s="1"/>
  <c r="CE26" i="2"/>
  <c r="BV24" i="2"/>
  <c r="BW25" i="2"/>
  <c r="BT26" i="17"/>
  <c r="BS54" i="2" s="1"/>
  <c r="BD55" i="18"/>
  <c r="BD56" i="18" s="1"/>
  <c r="BD57" i="18" s="1"/>
  <c r="BE53" i="18" s="1"/>
  <c r="BD41" i="18"/>
  <c r="BD42" i="18" s="1"/>
  <c r="BD43" i="18" s="1"/>
  <c r="BE39" i="18" s="1"/>
  <c r="BC27" i="18"/>
  <c r="BC28" i="18" s="1"/>
  <c r="BC29" i="18" s="1"/>
  <c r="BD25" i="18" s="1"/>
  <c r="CF28" i="2"/>
  <c r="CO27" i="2"/>
  <c r="BV10" i="16"/>
  <c r="BU19" i="16"/>
  <c r="BX11" i="16"/>
  <c r="BY7" i="16"/>
  <c r="CO4" i="16"/>
  <c r="CJ12" i="16"/>
  <c r="BT53" i="2"/>
  <c r="BV19" i="16"/>
  <c r="BW9" i="16"/>
  <c r="BW10" i="16"/>
  <c r="BZ16" i="2" l="1"/>
  <c r="BY22" i="2"/>
  <c r="BY23" i="2"/>
  <c r="AS164" i="2"/>
  <c r="AO14" i="4"/>
  <c r="AT115" i="2"/>
  <c r="AW45" i="4"/>
  <c r="AX41" i="4" s="1"/>
  <c r="AX43" i="4" s="1"/>
  <c r="CC55" i="2"/>
  <c r="CD23" i="17"/>
  <c r="BQ48" i="2"/>
  <c r="BQ109" i="2" s="1"/>
  <c r="BS47" i="2"/>
  <c r="BD13" i="18"/>
  <c r="BD14" i="18" s="1"/>
  <c r="BD15" i="18" s="1"/>
  <c r="BE11" i="18" s="1"/>
  <c r="CF26" i="2"/>
  <c r="BX25" i="2"/>
  <c r="BW24" i="2"/>
  <c r="BS51" i="2"/>
  <c r="BS106" i="2" s="1"/>
  <c r="BU26" i="17"/>
  <c r="BT54" i="2" s="1"/>
  <c r="BT51" i="2" s="1"/>
  <c r="BE55" i="18"/>
  <c r="BE56" i="18" s="1"/>
  <c r="BE57" i="18" s="1"/>
  <c r="BF53" i="18" s="1"/>
  <c r="BE41" i="18"/>
  <c r="BE42" i="18" s="1"/>
  <c r="BE43" i="18" s="1"/>
  <c r="BF39" i="18" s="1"/>
  <c r="BD27" i="18"/>
  <c r="BD28" i="18" s="1"/>
  <c r="BD29" i="18" s="1"/>
  <c r="BE25" i="18" s="1"/>
  <c r="AP114" i="2"/>
  <c r="K7" i="3" s="1"/>
  <c r="CG28" i="2"/>
  <c r="CP27" i="2"/>
  <c r="CQ27" i="2" s="1"/>
  <c r="BR48" i="2"/>
  <c r="BR109" i="2" s="1"/>
  <c r="BX10" i="16"/>
  <c r="BY10" i="16" s="1"/>
  <c r="BZ10" i="16" s="1"/>
  <c r="CA10" i="16" s="1"/>
  <c r="CB10" i="16" s="1"/>
  <c r="CC10" i="16" s="1"/>
  <c r="CD10" i="16" s="1"/>
  <c r="CE10" i="16"/>
  <c r="BY11" i="16"/>
  <c r="BZ7" i="16"/>
  <c r="CP4" i="16"/>
  <c r="CK12" i="16"/>
  <c r="BU53" i="2"/>
  <c r="BW19" i="16"/>
  <c r="BX9" i="16"/>
  <c r="CA16" i="2" l="1"/>
  <c r="BZ22" i="2"/>
  <c r="BZ23" i="2"/>
  <c r="AO15" i="4"/>
  <c r="AP11" i="4" s="1"/>
  <c r="AP13" i="4" s="1"/>
  <c r="AT116" i="2"/>
  <c r="AU131" i="4"/>
  <c r="BJ131" i="2"/>
  <c r="BS108" i="2"/>
  <c r="AN6" i="3" s="1"/>
  <c r="BG119" i="2"/>
  <c r="BS48" i="2"/>
  <c r="CE55" i="2"/>
  <c r="CF23" i="17"/>
  <c r="CE23" i="17"/>
  <c r="CD55" i="2"/>
  <c r="K8" i="3"/>
  <c r="BT47" i="2"/>
  <c r="BE13" i="18"/>
  <c r="BE14" i="18" s="1"/>
  <c r="BE15" i="18" s="1"/>
  <c r="BF11" i="18" s="1"/>
  <c r="CG26" i="2"/>
  <c r="BY25" i="2"/>
  <c r="BX24" i="2"/>
  <c r="BV26" i="17"/>
  <c r="BU54" i="2" s="1"/>
  <c r="BU51" i="2" s="1"/>
  <c r="BU106" i="2" s="1"/>
  <c r="BF55" i="18"/>
  <c r="BF56" i="18" s="1"/>
  <c r="BF57" i="18" s="1"/>
  <c r="BG53" i="18" s="1"/>
  <c r="BF41" i="18"/>
  <c r="BF42" i="18" s="1"/>
  <c r="BF43" i="18" s="1"/>
  <c r="BG39" i="18" s="1"/>
  <c r="BE27" i="18"/>
  <c r="BE28" i="18" s="1"/>
  <c r="BE29" i="18" s="1"/>
  <c r="BF25" i="18" s="1"/>
  <c r="AQ164" i="2"/>
  <c r="CH28" i="2"/>
  <c r="C27" i="2"/>
  <c r="BZ11" i="16"/>
  <c r="CA7" i="16"/>
  <c r="CQ4" i="16"/>
  <c r="CL12" i="16"/>
  <c r="BT106" i="2"/>
  <c r="BV53" i="2"/>
  <c r="BX19" i="16"/>
  <c r="BY9" i="16"/>
  <c r="AV167" i="2" l="1"/>
  <c r="BA167" i="2"/>
  <c r="BB167" i="2"/>
  <c r="AS167" i="2"/>
  <c r="AU167" i="2"/>
  <c r="BC167" i="2"/>
  <c r="BD167" i="2" s="1"/>
  <c r="AW167" i="2"/>
  <c r="AT167" i="2"/>
  <c r="AR167" i="2"/>
  <c r="AX167" i="2"/>
  <c r="AY167" i="2"/>
  <c r="AZ167" i="2"/>
  <c r="CB16" i="2"/>
  <c r="CA22" i="2"/>
  <c r="CA23" i="2"/>
  <c r="AT164" i="2"/>
  <c r="AP14" i="4"/>
  <c r="AU115" i="2"/>
  <c r="AU132" i="4"/>
  <c r="AV128" i="4" s="1"/>
  <c r="AV130" i="4" s="1"/>
  <c r="BJ132" i="2"/>
  <c r="BT108" i="2"/>
  <c r="AO6" i="3" s="1"/>
  <c r="BF163" i="2"/>
  <c r="AX44" i="4"/>
  <c r="BG120" i="2" s="1"/>
  <c r="BS49" i="2"/>
  <c r="BS109" i="2"/>
  <c r="CF55" i="2"/>
  <c r="CG23" i="17"/>
  <c r="AQ114" i="2"/>
  <c r="L7" i="3" s="1"/>
  <c r="L8" i="3" s="1"/>
  <c r="BT48" i="2"/>
  <c r="BT109" i="2" s="1"/>
  <c r="BU47" i="2"/>
  <c r="BU108" i="2" s="1"/>
  <c r="AP6" i="3" s="1"/>
  <c r="BF13" i="18"/>
  <c r="BF14" i="18" s="1"/>
  <c r="BF15" i="18" s="1"/>
  <c r="BG11" i="18" s="1"/>
  <c r="CH26" i="2"/>
  <c r="BZ25" i="2"/>
  <c r="BY24" i="2"/>
  <c r="BW26" i="17"/>
  <c r="BV54" i="2" s="1"/>
  <c r="BG55" i="18"/>
  <c r="BG56" i="18" s="1"/>
  <c r="BG57" i="18" s="1"/>
  <c r="BH53" i="18" s="1"/>
  <c r="BG41" i="18"/>
  <c r="BG42" i="18" s="1"/>
  <c r="BG43" i="18" s="1"/>
  <c r="BH39" i="18" s="1"/>
  <c r="BF27" i="18"/>
  <c r="BF28" i="18" s="1"/>
  <c r="BF29" i="18" s="1"/>
  <c r="BG25" i="18" s="1"/>
  <c r="CI28" i="2"/>
  <c r="CA11" i="16"/>
  <c r="CB7" i="16"/>
  <c r="CM12" i="16"/>
  <c r="BW53" i="2"/>
  <c r="BY19" i="16"/>
  <c r="BZ9" i="16"/>
  <c r="CR4" i="16"/>
  <c r="D4" i="16"/>
  <c r="CC16" i="2" l="1"/>
  <c r="CB22" i="2"/>
  <c r="CB23" i="2"/>
  <c r="AP15" i="4"/>
  <c r="AQ11" i="4" s="1"/>
  <c r="AQ13" i="4" s="1"/>
  <c r="AU116" i="2"/>
  <c r="AX45" i="4"/>
  <c r="AY41" i="4" s="1"/>
  <c r="AY43" i="4" s="1"/>
  <c r="CG55" i="2"/>
  <c r="CH23" i="17"/>
  <c r="BV47" i="2"/>
  <c r="BG13" i="18"/>
  <c r="BG14" i="18" s="1"/>
  <c r="BG15" i="18" s="1"/>
  <c r="BH11" i="18" s="1"/>
  <c r="CI26" i="2"/>
  <c r="BZ24" i="2"/>
  <c r="CA25" i="2"/>
  <c r="BV51" i="2"/>
  <c r="BV106" i="2" s="1"/>
  <c r="BX26" i="17"/>
  <c r="BW54" i="2" s="1"/>
  <c r="BW51" i="2" s="1"/>
  <c r="BH55" i="18"/>
  <c r="BH56" i="18" s="1"/>
  <c r="BH57" i="18" s="1"/>
  <c r="BI53" i="18" s="1"/>
  <c r="BH41" i="18"/>
  <c r="BH42" i="18" s="1"/>
  <c r="BH43" i="18" s="1"/>
  <c r="BI39" i="18" s="1"/>
  <c r="BG27" i="18"/>
  <c r="BG28" i="18" s="1"/>
  <c r="BG29" i="18" s="1"/>
  <c r="BH25" i="18" s="1"/>
  <c r="CJ28" i="2"/>
  <c r="BU48" i="2"/>
  <c r="BU109" i="2" s="1"/>
  <c r="CB11" i="16"/>
  <c r="CC7" i="16"/>
  <c r="CN12" i="16"/>
  <c r="BX53" i="2"/>
  <c r="BZ19" i="16"/>
  <c r="CA9" i="16"/>
  <c r="CE16" i="2" l="1"/>
  <c r="CC22" i="2"/>
  <c r="CC23" i="2"/>
  <c r="CD23" i="2" s="1"/>
  <c r="AU164" i="2"/>
  <c r="AQ14" i="4"/>
  <c r="AV115" i="2"/>
  <c r="AV131" i="4"/>
  <c r="BK131" i="2"/>
  <c r="BV108" i="2"/>
  <c r="AQ6" i="3" s="1"/>
  <c r="BH119" i="2"/>
  <c r="BV48" i="2"/>
  <c r="BV109" i="2" s="1"/>
  <c r="CH55" i="2"/>
  <c r="CI23" i="17"/>
  <c r="BW47" i="2"/>
  <c r="BH13" i="18"/>
  <c r="BH14" i="18" s="1"/>
  <c r="BH15" i="18" s="1"/>
  <c r="BI11" i="18" s="1"/>
  <c r="CJ26" i="2"/>
  <c r="CB25" i="2"/>
  <c r="CA24" i="2"/>
  <c r="BY26" i="17"/>
  <c r="BX54" i="2" s="1"/>
  <c r="BX51" i="2" s="1"/>
  <c r="BX106" i="2" s="1"/>
  <c r="BI55" i="18"/>
  <c r="BI56" i="18" s="1"/>
  <c r="BI57" i="18" s="1"/>
  <c r="BJ53" i="18" s="1"/>
  <c r="BI41" i="18"/>
  <c r="BI42" i="18" s="1"/>
  <c r="BI43" i="18" s="1"/>
  <c r="BJ39" i="18" s="1"/>
  <c r="BH27" i="18"/>
  <c r="BH28" i="18" s="1"/>
  <c r="BH29" i="18" s="1"/>
  <c r="BI25" i="18" s="1"/>
  <c r="CK28" i="2"/>
  <c r="CC11" i="16"/>
  <c r="CD7" i="16"/>
  <c r="CE7" i="16" s="1"/>
  <c r="CO12" i="16"/>
  <c r="BW106" i="2"/>
  <c r="BY53" i="2"/>
  <c r="CA19" i="16"/>
  <c r="CB9" i="16"/>
  <c r="CF16" i="2" l="1"/>
  <c r="CE22" i="2"/>
  <c r="CE23" i="2"/>
  <c r="AQ15" i="4"/>
  <c r="AR11" i="4" s="1"/>
  <c r="AR13" i="4" s="1"/>
  <c r="AV116" i="2"/>
  <c r="AV132" i="4"/>
  <c r="AW128" i="4" s="1"/>
  <c r="AW130" i="4" s="1"/>
  <c r="BK132" i="2"/>
  <c r="BW108" i="2"/>
  <c r="AR6" i="3" s="1"/>
  <c r="BG163" i="2"/>
  <c r="AY44" i="4"/>
  <c r="BH120" i="2" s="1"/>
  <c r="CI55" i="2"/>
  <c r="CJ23" i="17"/>
  <c r="AR114" i="2"/>
  <c r="M7" i="3" s="1"/>
  <c r="BW48" i="2"/>
  <c r="BW109" i="2" s="1"/>
  <c r="BX47" i="2"/>
  <c r="BX108" i="2" s="1"/>
  <c r="AS6" i="3" s="1"/>
  <c r="BI13" i="18"/>
  <c r="BI14" i="18" s="1"/>
  <c r="BI15" i="18" s="1"/>
  <c r="BJ11" i="18" s="1"/>
  <c r="CK26" i="2"/>
  <c r="CC25" i="2"/>
  <c r="CD25" i="2" s="1"/>
  <c r="CB24" i="2"/>
  <c r="BZ26" i="17"/>
  <c r="BY54" i="2" s="1"/>
  <c r="BJ55" i="18"/>
  <c r="BJ56" i="18" s="1"/>
  <c r="BJ57" i="18" s="1"/>
  <c r="BK53" i="18" s="1"/>
  <c r="BJ41" i="18"/>
  <c r="BJ42" i="18" s="1"/>
  <c r="BJ43" i="18" s="1"/>
  <c r="BK39" i="18" s="1"/>
  <c r="BI27" i="18"/>
  <c r="BI28" i="18" s="1"/>
  <c r="BI29" i="18" s="1"/>
  <c r="BJ25" i="18" s="1"/>
  <c r="CL28" i="2"/>
  <c r="CD11" i="16"/>
  <c r="CE11" i="16" s="1"/>
  <c r="CF7" i="16"/>
  <c r="CP12" i="16"/>
  <c r="BZ53" i="2"/>
  <c r="CB19" i="16"/>
  <c r="CC9" i="16"/>
  <c r="CG16" i="2" l="1"/>
  <c r="CF22" i="2"/>
  <c r="CF23" i="2"/>
  <c r="AV164" i="2"/>
  <c r="AR14" i="4"/>
  <c r="AW115" i="2"/>
  <c r="AY45" i="4"/>
  <c r="AZ41" i="4" s="1"/>
  <c r="AZ43" i="4" s="1"/>
  <c r="CJ55" i="2"/>
  <c r="CK23" i="17"/>
  <c r="M8" i="3"/>
  <c r="BY47" i="2"/>
  <c r="BJ13" i="18"/>
  <c r="BJ14" i="18" s="1"/>
  <c r="BJ15" i="18" s="1"/>
  <c r="BK11" i="18" s="1"/>
  <c r="CL26" i="2"/>
  <c r="CC24" i="2"/>
  <c r="CE25" i="2"/>
  <c r="CE22" i="17"/>
  <c r="BY51" i="2"/>
  <c r="BY106" i="2" s="1"/>
  <c r="CA26" i="17"/>
  <c r="BZ54" i="2" s="1"/>
  <c r="BZ51" i="2" s="1"/>
  <c r="BK55" i="18"/>
  <c r="BK56" i="18" s="1"/>
  <c r="BK57" i="18" s="1"/>
  <c r="BL53" i="18" s="1"/>
  <c r="BK41" i="18"/>
  <c r="BK42" i="18" s="1"/>
  <c r="BK43" i="18" s="1"/>
  <c r="BL39" i="18" s="1"/>
  <c r="BJ27" i="18"/>
  <c r="BJ28" i="18" s="1"/>
  <c r="BJ29" i="18" s="1"/>
  <c r="BK25" i="18" s="1"/>
  <c r="CM28" i="2"/>
  <c r="BX48" i="2"/>
  <c r="BX109" i="2" s="1"/>
  <c r="CF11" i="16"/>
  <c r="CG7" i="16"/>
  <c r="CQ12" i="16"/>
  <c r="CR12" i="16" s="1"/>
  <c r="D12" i="16" s="1"/>
  <c r="CA53" i="2"/>
  <c r="CC19" i="16"/>
  <c r="CD9" i="16"/>
  <c r="CE9" i="16" s="1"/>
  <c r="CH16" i="2" l="1"/>
  <c r="CG22" i="2"/>
  <c r="CG23" i="2"/>
  <c r="AR15" i="4"/>
  <c r="AS11" i="4" s="1"/>
  <c r="AS13" i="4" s="1"/>
  <c r="AW116" i="2"/>
  <c r="AW164" i="2" s="1"/>
  <c r="BL131" i="2"/>
  <c r="AW131" i="4"/>
  <c r="BY108" i="2"/>
  <c r="AT6" i="3" s="1"/>
  <c r="BI119" i="2"/>
  <c r="BY48" i="2"/>
  <c r="BY109" i="2" s="1"/>
  <c r="CK55" i="2"/>
  <c r="CL23" i="17"/>
  <c r="BZ47" i="2"/>
  <c r="BK13" i="18"/>
  <c r="BK14" i="18" s="1"/>
  <c r="BK15" i="18" s="1"/>
  <c r="BL11" i="18" s="1"/>
  <c r="CM26" i="2"/>
  <c r="CD24" i="2"/>
  <c r="CF25" i="2"/>
  <c r="CE24" i="2"/>
  <c r="CB26" i="17"/>
  <c r="CA54" i="2" s="1"/>
  <c r="CA51" i="2" s="1"/>
  <c r="CA106" i="2" s="1"/>
  <c r="BL55" i="18"/>
  <c r="BL56" i="18" s="1"/>
  <c r="BL57" i="18" s="1"/>
  <c r="BM53" i="18" s="1"/>
  <c r="BL41" i="18"/>
  <c r="BL42" i="18" s="1"/>
  <c r="BL43" i="18" s="1"/>
  <c r="BM39" i="18" s="1"/>
  <c r="BK27" i="18"/>
  <c r="BK28" i="18" s="1"/>
  <c r="BK29" i="18" s="1"/>
  <c r="BL25" i="18" s="1"/>
  <c r="AS114" i="2"/>
  <c r="N7" i="3" s="1"/>
  <c r="CN28" i="2"/>
  <c r="CG11" i="16"/>
  <c r="CH7" i="16"/>
  <c r="BZ106" i="2"/>
  <c r="CB53" i="2"/>
  <c r="CD19" i="16"/>
  <c r="CE19" i="16" s="1"/>
  <c r="CF9" i="16"/>
  <c r="CI16" i="2" l="1"/>
  <c r="CH22" i="2"/>
  <c r="CH23" i="2"/>
  <c r="AS14" i="4"/>
  <c r="AX115" i="2"/>
  <c r="AW132" i="4"/>
  <c r="AX128" i="4" s="1"/>
  <c r="AX130" i="4" s="1"/>
  <c r="BL132" i="2"/>
  <c r="BZ108" i="2"/>
  <c r="AU6" i="3" s="1"/>
  <c r="BH163" i="2"/>
  <c r="AZ44" i="4"/>
  <c r="BI120" i="2" s="1"/>
  <c r="CL55" i="2"/>
  <c r="CM23" i="17"/>
  <c r="BZ48" i="2"/>
  <c r="BZ109" i="2" s="1"/>
  <c r="CA47" i="2"/>
  <c r="CA108" i="2" s="1"/>
  <c r="AV6" i="3" s="1"/>
  <c r="BL13" i="18"/>
  <c r="BL14" i="18" s="1"/>
  <c r="BL15" i="18" s="1"/>
  <c r="BM11" i="18" s="1"/>
  <c r="CN26" i="2"/>
  <c r="CG25" i="2"/>
  <c r="CF24" i="2"/>
  <c r="CC26" i="17"/>
  <c r="CB54" i="2" s="1"/>
  <c r="CE24" i="17"/>
  <c r="CE26" i="17" s="1"/>
  <c r="CD54" i="2" s="1"/>
  <c r="BM55" i="18"/>
  <c r="BM56" i="18" s="1"/>
  <c r="BM57" i="18" s="1"/>
  <c r="BN53" i="18" s="1"/>
  <c r="BM41" i="18"/>
  <c r="BM42" i="18" s="1"/>
  <c r="BM43" i="18" s="1"/>
  <c r="BN39" i="18" s="1"/>
  <c r="BL27" i="18"/>
  <c r="BL28" i="18" s="1"/>
  <c r="BL29" i="18" s="1"/>
  <c r="BM25" i="18" s="1"/>
  <c r="CO28" i="2"/>
  <c r="CH11" i="16"/>
  <c r="CI7" i="16"/>
  <c r="CD53" i="2"/>
  <c r="CC53" i="2"/>
  <c r="CF10" i="16" a="1"/>
  <c r="CF10" i="16" s="1"/>
  <c r="CF19" i="16" s="1"/>
  <c r="CG9" i="16"/>
  <c r="CJ16" i="2" l="1"/>
  <c r="CI22" i="2"/>
  <c r="CI23" i="2"/>
  <c r="AS15" i="4"/>
  <c r="AT11" i="4" s="1"/>
  <c r="AT13" i="4" s="1"/>
  <c r="AX116" i="2"/>
  <c r="AX164" i="2" s="1"/>
  <c r="AZ45" i="4"/>
  <c r="BA41" i="4" s="1"/>
  <c r="BA43" i="4" s="1"/>
  <c r="CM55" i="2"/>
  <c r="CN23" i="17"/>
  <c r="CB47" i="2"/>
  <c r="CD22" i="2"/>
  <c r="BM13" i="18"/>
  <c r="BM14" i="18" s="1"/>
  <c r="BM15" i="18" s="1"/>
  <c r="BN11" i="18" s="1"/>
  <c r="CO26" i="2"/>
  <c r="CH25" i="2"/>
  <c r="CG24" i="2"/>
  <c r="CB51" i="2"/>
  <c r="CB106" i="2" s="1"/>
  <c r="CD26" i="17"/>
  <c r="CC54" i="2" s="1"/>
  <c r="CC51" i="2" s="1"/>
  <c r="BN55" i="18"/>
  <c r="BN56" i="18" s="1"/>
  <c r="BN57" i="18" s="1"/>
  <c r="BO53" i="18" s="1"/>
  <c r="BN41" i="18"/>
  <c r="BN42" i="18" s="1"/>
  <c r="BN43" i="18" s="1"/>
  <c r="BO39" i="18" s="1"/>
  <c r="BM27" i="18"/>
  <c r="BM28" i="18" s="1"/>
  <c r="BM29" i="18" s="1"/>
  <c r="BN25" i="18" s="1"/>
  <c r="CP28" i="2"/>
  <c r="CQ28" i="2" s="1"/>
  <c r="C28" i="2" s="1"/>
  <c r="CD51" i="2"/>
  <c r="CD106" i="2" s="1"/>
  <c r="CA48" i="2"/>
  <c r="CA109" i="2" s="1"/>
  <c r="CI11" i="16"/>
  <c r="CJ7" i="16"/>
  <c r="CG10" i="16"/>
  <c r="CE53" i="2"/>
  <c r="CH9" i="16"/>
  <c r="CK16" i="2" l="1"/>
  <c r="CJ22" i="2"/>
  <c r="CJ23" i="2"/>
  <c r="AT14" i="4"/>
  <c r="AY115" i="2"/>
  <c r="AX131" i="4"/>
  <c r="BM131" i="2"/>
  <c r="CB108" i="2"/>
  <c r="AW6" i="3" s="1"/>
  <c r="BJ119" i="2"/>
  <c r="CN55" i="2"/>
  <c r="CO23" i="17"/>
  <c r="CC47" i="2"/>
  <c r="BN13" i="18"/>
  <c r="BN14" i="18" s="1"/>
  <c r="BN15" i="18" s="1"/>
  <c r="BO11" i="18" s="1"/>
  <c r="CP26" i="2"/>
  <c r="CQ26" i="2" s="1"/>
  <c r="C26" i="2" s="1"/>
  <c r="CH24" i="2"/>
  <c r="CI25" i="2"/>
  <c r="CF26" i="17"/>
  <c r="CE54" i="2" s="1"/>
  <c r="CE51" i="2" s="1"/>
  <c r="CE106" i="2" s="1"/>
  <c r="BO55" i="18"/>
  <c r="BO56" i="18" s="1"/>
  <c r="BO57" i="18" s="1"/>
  <c r="BP53" i="18" s="1"/>
  <c r="BO41" i="18"/>
  <c r="BO42" i="18" s="1"/>
  <c r="BO43" i="18" s="1"/>
  <c r="BP39" i="18" s="1"/>
  <c r="BN27" i="18"/>
  <c r="BN28" i="18" s="1"/>
  <c r="BN29" i="18" s="1"/>
  <c r="BO25" i="18" s="1"/>
  <c r="AT114" i="2"/>
  <c r="O7" i="3" s="1"/>
  <c r="CB48" i="2"/>
  <c r="CB109" i="2" s="1"/>
  <c r="CH10" i="16"/>
  <c r="CI10" i="16" s="1"/>
  <c r="CJ10" i="16" s="1"/>
  <c r="CK10" i="16" s="1"/>
  <c r="CG19" i="16"/>
  <c r="CJ11" i="16"/>
  <c r="CK7" i="16"/>
  <c r="CC106" i="2"/>
  <c r="CF53" i="2"/>
  <c r="CH19" i="16"/>
  <c r="CI9" i="16"/>
  <c r="CL16" i="2" l="1"/>
  <c r="CK22" i="2"/>
  <c r="CK23" i="2"/>
  <c r="AT15" i="4"/>
  <c r="AU11" i="4" s="1"/>
  <c r="AU13" i="4" s="1"/>
  <c r="AY116" i="2"/>
  <c r="AY164" i="2" s="1"/>
  <c r="AX132" i="4"/>
  <c r="AY128" i="4" s="1"/>
  <c r="AY130" i="4" s="1"/>
  <c r="BM132" i="2"/>
  <c r="CC108" i="2"/>
  <c r="AX6" i="3" s="1"/>
  <c r="BI163" i="2"/>
  <c r="BA44" i="4"/>
  <c r="BJ120" i="2" s="1"/>
  <c r="CO55" i="2"/>
  <c r="CP23" i="17"/>
  <c r="O8" i="3"/>
  <c r="CD47" i="2"/>
  <c r="CD108" i="2" s="1"/>
  <c r="AY6" i="3" s="1"/>
  <c r="CC48" i="2"/>
  <c r="CC109" i="2" s="1"/>
  <c r="CE47" i="2"/>
  <c r="CE108" i="2" s="1"/>
  <c r="AZ6" i="3" s="1"/>
  <c r="BO13" i="18"/>
  <c r="BO14" i="18" s="1"/>
  <c r="BO15" i="18" s="1"/>
  <c r="BP11" i="18" s="1"/>
  <c r="CJ25" i="2"/>
  <c r="CI24" i="2"/>
  <c r="CG26" i="17"/>
  <c r="CF54" i="2" s="1"/>
  <c r="BP55" i="18"/>
  <c r="BP56" i="18" s="1"/>
  <c r="BP57" i="18" s="1"/>
  <c r="BQ53" i="18" s="1"/>
  <c r="BP41" i="18"/>
  <c r="BP42" i="18" s="1"/>
  <c r="BP43" i="18" s="1"/>
  <c r="BQ39" i="18" s="1"/>
  <c r="BO27" i="18"/>
  <c r="BO28" i="18" s="1"/>
  <c r="BO29" i="18" s="1"/>
  <c r="BP25" i="18" s="1"/>
  <c r="CR10" i="16"/>
  <c r="D10" i="16" s="1"/>
  <c r="CL10" i="16"/>
  <c r="CM10" i="16" s="1"/>
  <c r="CN10" i="16" s="1"/>
  <c r="CO10" i="16" s="1"/>
  <c r="CP10" i="16" s="1"/>
  <c r="CQ10" i="16" s="1"/>
  <c r="CK11" i="16"/>
  <c r="CL7" i="16"/>
  <c r="CG53" i="2"/>
  <c r="CI19" i="16"/>
  <c r="CJ9" i="16"/>
  <c r="AS57" i="2"/>
  <c r="CM16" i="2" l="1"/>
  <c r="CL22" i="2"/>
  <c r="CL23" i="2"/>
  <c r="AU14" i="4"/>
  <c r="AZ115" i="2"/>
  <c r="BA45" i="4"/>
  <c r="BB41" i="4" s="1"/>
  <c r="BB43" i="4" s="1"/>
  <c r="CE48" i="2"/>
  <c r="CE109" i="2" s="1"/>
  <c r="CP55" i="2"/>
  <c r="CQ55" i="2" s="1"/>
  <c r="C55" i="2" s="1"/>
  <c r="CQ23" i="17"/>
  <c r="CR23" i="17" s="1"/>
  <c r="D23" i="17" s="1"/>
  <c r="CD48" i="2"/>
  <c r="CD109" i="2" s="1"/>
  <c r="CF47" i="2"/>
  <c r="BP13" i="18"/>
  <c r="BP14" i="18" s="1"/>
  <c r="BP15" i="18" s="1"/>
  <c r="BQ11" i="18" s="1"/>
  <c r="CK25" i="2"/>
  <c r="CJ24" i="2"/>
  <c r="CF51" i="2"/>
  <c r="CF106" i="2" s="1"/>
  <c r="CH26" i="17"/>
  <c r="CG54" i="2" s="1"/>
  <c r="CG51" i="2" s="1"/>
  <c r="BQ55" i="18"/>
  <c r="BQ56" i="18" s="1"/>
  <c r="BQ57" i="18" s="1"/>
  <c r="BR53" i="18" s="1"/>
  <c r="BQ41" i="18"/>
  <c r="BQ42" i="18" s="1"/>
  <c r="BQ43" i="18" s="1"/>
  <c r="BR39" i="18" s="1"/>
  <c r="BP27" i="18"/>
  <c r="BP28" i="18" s="1"/>
  <c r="BP29" i="18" s="1"/>
  <c r="BQ25" i="18" s="1"/>
  <c r="CL11" i="16"/>
  <c r="CM7" i="16"/>
  <c r="CH53" i="2"/>
  <c r="CJ19" i="16"/>
  <c r="CK9" i="16"/>
  <c r="AS106" i="2"/>
  <c r="BD57" i="2"/>
  <c r="CN16" i="2" l="1"/>
  <c r="CM22" i="2"/>
  <c r="CM23" i="2"/>
  <c r="AU15" i="4"/>
  <c r="AV11" i="4" s="1"/>
  <c r="AV13" i="4" s="1"/>
  <c r="AZ116" i="2"/>
  <c r="AZ164" i="2" s="1"/>
  <c r="BN131" i="2"/>
  <c r="AY131" i="4"/>
  <c r="CF108" i="2"/>
  <c r="BA6" i="3" s="1"/>
  <c r="BK119" i="2"/>
  <c r="CF48" i="2"/>
  <c r="CF109" i="2" s="1"/>
  <c r="CG47" i="2"/>
  <c r="BQ13" i="18"/>
  <c r="BQ14" i="18" s="1"/>
  <c r="BQ15" i="18" s="1"/>
  <c r="BR11" i="18" s="1"/>
  <c r="CL25" i="2"/>
  <c r="CK24" i="2"/>
  <c r="CI26" i="17"/>
  <c r="CH54" i="2" s="1"/>
  <c r="CH51" i="2" s="1"/>
  <c r="CH106" i="2" s="1"/>
  <c r="BR55" i="18"/>
  <c r="BR56" i="18" s="1"/>
  <c r="BR57" i="18" s="1"/>
  <c r="BS53" i="18" s="1"/>
  <c r="BR41" i="18"/>
  <c r="BR42" i="18" s="1"/>
  <c r="BR43" i="18" s="1"/>
  <c r="BS39" i="18" s="1"/>
  <c r="BQ27" i="18"/>
  <c r="BQ28" i="18" s="1"/>
  <c r="BQ29" i="18" s="1"/>
  <c r="BR25" i="18" s="1"/>
  <c r="AU114" i="2"/>
  <c r="P7" i="3" s="1"/>
  <c r="CM11" i="16"/>
  <c r="CN7" i="16"/>
  <c r="CG106" i="2"/>
  <c r="CI53" i="2"/>
  <c r="CK19" i="16"/>
  <c r="CL9" i="16"/>
  <c r="AS109" i="2"/>
  <c r="AS108" i="2"/>
  <c r="N6" i="3" s="1"/>
  <c r="BD106" i="2"/>
  <c r="BD108" i="2" s="1"/>
  <c r="Y6" i="3" s="1"/>
  <c r="C57" i="2"/>
  <c r="CO16" i="2" l="1"/>
  <c r="CN22" i="2"/>
  <c r="CN23" i="2"/>
  <c r="AV14" i="4"/>
  <c r="BA115" i="2"/>
  <c r="AY132" i="4"/>
  <c r="AZ128" i="4" s="1"/>
  <c r="AZ130" i="4" s="1"/>
  <c r="BN132" i="2"/>
  <c r="CG108" i="2"/>
  <c r="BB6" i="3" s="1"/>
  <c r="BJ163" i="2"/>
  <c r="BB44" i="4"/>
  <c r="BK120" i="2" s="1"/>
  <c r="P8" i="3"/>
  <c r="CH47" i="2"/>
  <c r="CH108" i="2" s="1"/>
  <c r="BC6" i="3" s="1"/>
  <c r="CG48" i="2"/>
  <c r="CG109" i="2" s="1"/>
  <c r="BR13" i="18"/>
  <c r="BR14" i="18" s="1"/>
  <c r="BR15" i="18" s="1"/>
  <c r="BS11" i="18" s="1"/>
  <c r="CM25" i="2"/>
  <c r="CL24" i="2"/>
  <c r="CJ26" i="17"/>
  <c r="CI54" i="2" s="1"/>
  <c r="BS55" i="18"/>
  <c r="BS56" i="18" s="1"/>
  <c r="BS57" i="18" s="1"/>
  <c r="BT53" i="18" s="1"/>
  <c r="BS41" i="18"/>
  <c r="BS42" i="18" s="1"/>
  <c r="BS43" i="18" s="1"/>
  <c r="BT39" i="18" s="1"/>
  <c r="BR27" i="18"/>
  <c r="BR28" i="18" s="1"/>
  <c r="BR29" i="18" s="1"/>
  <c r="BS25" i="18" s="1"/>
  <c r="CN11" i="16"/>
  <c r="CO7" i="16"/>
  <c r="CJ53" i="2"/>
  <c r="CL19" i="16"/>
  <c r="CM9" i="16"/>
  <c r="BD109" i="2"/>
  <c r="CP16" i="2" l="1"/>
  <c r="CO22" i="2"/>
  <c r="CO23" i="2"/>
  <c r="AV15" i="4"/>
  <c r="AW11" i="4" s="1"/>
  <c r="AW13" i="4" s="1"/>
  <c r="BA116" i="2"/>
  <c r="BA164" i="2" s="1"/>
  <c r="BB45" i="4"/>
  <c r="BC41" i="4" s="1"/>
  <c r="BC43" i="4" s="1"/>
  <c r="CH48" i="2"/>
  <c r="CH109" i="2" s="1"/>
  <c r="CI47" i="2"/>
  <c r="BS13" i="18"/>
  <c r="BS14" i="18" s="1"/>
  <c r="BS15" i="18" s="1"/>
  <c r="BT11" i="18" s="1"/>
  <c r="CN25" i="2"/>
  <c r="CM24" i="2"/>
  <c r="CI51" i="2"/>
  <c r="CI106" i="2" s="1"/>
  <c r="CK26" i="17"/>
  <c r="CJ54" i="2" s="1"/>
  <c r="CJ51" i="2" s="1"/>
  <c r="BT55" i="18"/>
  <c r="BT56" i="18" s="1"/>
  <c r="BT57" i="18" s="1"/>
  <c r="BU53" i="18" s="1"/>
  <c r="BT41" i="18"/>
  <c r="BT42" i="18" s="1"/>
  <c r="BT43" i="18" s="1"/>
  <c r="BU39" i="18" s="1"/>
  <c r="BS27" i="18"/>
  <c r="BS28" i="18" s="1"/>
  <c r="BS29" i="18" s="1"/>
  <c r="BT25" i="18" s="1"/>
  <c r="CO11" i="16"/>
  <c r="CP7" i="16"/>
  <c r="CK53" i="2"/>
  <c r="CM19" i="16"/>
  <c r="CN9" i="16"/>
  <c r="N8" i="3"/>
  <c r="CP22" i="2" l="1"/>
  <c r="CP23" i="2"/>
  <c r="CQ23" i="2" s="1"/>
  <c r="C23" i="2" s="1"/>
  <c r="AW14" i="4"/>
  <c r="BB115" i="2"/>
  <c r="AZ131" i="4"/>
  <c r="BO131" i="2"/>
  <c r="CI108" i="2"/>
  <c r="BD6" i="3" s="1"/>
  <c r="BL119" i="2"/>
  <c r="CJ47" i="2"/>
  <c r="CI48" i="2"/>
  <c r="CI109" i="2" s="1"/>
  <c r="BT13" i="18"/>
  <c r="BT14" i="18" s="1"/>
  <c r="BT15" i="18" s="1"/>
  <c r="BU11" i="18" s="1"/>
  <c r="CO25" i="2"/>
  <c r="CN24" i="2"/>
  <c r="CL26" i="17"/>
  <c r="CK54" i="2" s="1"/>
  <c r="CK51" i="2" s="1"/>
  <c r="CK106" i="2" s="1"/>
  <c r="BU55" i="18"/>
  <c r="BU56" i="18" s="1"/>
  <c r="BU57" i="18" s="1"/>
  <c r="BV53" i="18" s="1"/>
  <c r="BU41" i="18"/>
  <c r="BU42" i="18" s="1"/>
  <c r="BU43" i="18" s="1"/>
  <c r="BV39" i="18" s="1"/>
  <c r="BT27" i="18"/>
  <c r="BT28" i="18" s="1"/>
  <c r="BT29" i="18" s="1"/>
  <c r="BU25" i="18" s="1"/>
  <c r="AV114" i="2"/>
  <c r="Q7" i="3" s="1"/>
  <c r="CP11" i="16"/>
  <c r="CQ7" i="16"/>
  <c r="CR7" i="16" s="1"/>
  <c r="CJ106" i="2"/>
  <c r="CL53" i="2"/>
  <c r="CN19" i="16"/>
  <c r="CO9" i="16"/>
  <c r="AW15" i="4" l="1"/>
  <c r="AX11" i="4" s="1"/>
  <c r="AX13" i="4" s="1"/>
  <c r="BB116" i="2"/>
  <c r="BB164" i="2" s="1"/>
  <c r="AZ132" i="4"/>
  <c r="BA128" i="4" s="1"/>
  <c r="BA130" i="4" s="1"/>
  <c r="BO132" i="2"/>
  <c r="CJ48" i="2"/>
  <c r="CJ108" i="2"/>
  <c r="BE6" i="3" s="1"/>
  <c r="BK163" i="2"/>
  <c r="BC44" i="4"/>
  <c r="BL120" i="2" s="1"/>
  <c r="Q8" i="3"/>
  <c r="CK47" i="2"/>
  <c r="CK108" i="2" s="1"/>
  <c r="BF6" i="3" s="1"/>
  <c r="BU13" i="18"/>
  <c r="BU14" i="18" s="1"/>
  <c r="BU15" i="18" s="1"/>
  <c r="BV11" i="18" s="1"/>
  <c r="CP25" i="2"/>
  <c r="CQ25" i="2" s="1"/>
  <c r="CO24" i="2"/>
  <c r="CM26" i="17"/>
  <c r="CL54" i="2" s="1"/>
  <c r="BV55" i="18"/>
  <c r="BV56" i="18" s="1"/>
  <c r="BV57" i="18" s="1"/>
  <c r="BW53" i="18" s="1"/>
  <c r="BV41" i="18"/>
  <c r="BV42" i="18" s="1"/>
  <c r="BV43" i="18" s="1"/>
  <c r="BW39" i="18" s="1"/>
  <c r="BU27" i="18"/>
  <c r="BU28" i="18" s="1"/>
  <c r="BU29" i="18" s="1"/>
  <c r="BV25" i="18" s="1"/>
  <c r="CQ11" i="16"/>
  <c r="CR11" i="16" s="1"/>
  <c r="D11" i="16" s="1"/>
  <c r="D7" i="16"/>
  <c r="CM53" i="2"/>
  <c r="CO19" i="16"/>
  <c r="CP9" i="16"/>
  <c r="AX14" i="4" l="1"/>
  <c r="BC115" i="2"/>
  <c r="BD115" i="2" s="1"/>
  <c r="CJ109" i="2"/>
  <c r="BC45" i="4"/>
  <c r="BD41" i="4" s="1"/>
  <c r="BD43" i="4" s="1"/>
  <c r="CK48" i="2"/>
  <c r="CK109" i="2" s="1"/>
  <c r="CL47" i="2"/>
  <c r="BV13" i="18"/>
  <c r="BV14" i="18" s="1"/>
  <c r="BV15" i="18" s="1"/>
  <c r="BW11" i="18" s="1"/>
  <c r="C25" i="2"/>
  <c r="CP24" i="2"/>
  <c r="CQ24" i="2" s="1"/>
  <c r="C24" i="2" s="1"/>
  <c r="CR22" i="17"/>
  <c r="CL51" i="2"/>
  <c r="CL106" i="2" s="1"/>
  <c r="CN26" i="17"/>
  <c r="CM54" i="2" s="1"/>
  <c r="BW55" i="18"/>
  <c r="BW56" i="18" s="1"/>
  <c r="BW57" i="18" s="1"/>
  <c r="BX53" i="18" s="1"/>
  <c r="BW41" i="18"/>
  <c r="BW42" i="18" s="1"/>
  <c r="BW43" i="18" s="1"/>
  <c r="BX39" i="18" s="1"/>
  <c r="BV27" i="18"/>
  <c r="BV28" i="18" s="1"/>
  <c r="BV29" i="18" s="1"/>
  <c r="BW25" i="18" s="1"/>
  <c r="CN53" i="2"/>
  <c r="CP19" i="16"/>
  <c r="CQ9" i="16"/>
  <c r="CR9" i="16" s="1"/>
  <c r="AX15" i="4" l="1"/>
  <c r="AY11" i="4" s="1"/>
  <c r="AY13" i="4" s="1"/>
  <c r="BC116" i="2"/>
  <c r="BA131" i="4"/>
  <c r="BP131" i="2"/>
  <c r="CL108" i="2"/>
  <c r="BG6" i="3" s="1"/>
  <c r="BM119" i="2"/>
  <c r="CM47" i="2"/>
  <c r="BW13" i="18"/>
  <c r="BW14" i="18" s="1"/>
  <c r="BW15" i="18" s="1"/>
  <c r="BX11" i="18" s="1"/>
  <c r="D22" i="17"/>
  <c r="CO26" i="17"/>
  <c r="CN54" i="2" s="1"/>
  <c r="BX55" i="18"/>
  <c r="BX56" i="18" s="1"/>
  <c r="BX57" i="18" s="1"/>
  <c r="BY53" i="18" s="1"/>
  <c r="BX41" i="18"/>
  <c r="BX42" i="18" s="1"/>
  <c r="BX43" i="18" s="1"/>
  <c r="BY39" i="18" s="1"/>
  <c r="BW27" i="18"/>
  <c r="BW28" i="18" s="1"/>
  <c r="BW29" i="18" s="1"/>
  <c r="BX25" i="18" s="1"/>
  <c r="AW114" i="2"/>
  <c r="R7" i="3" s="1"/>
  <c r="CL48" i="2"/>
  <c r="CL109" i="2" s="1"/>
  <c r="CM51" i="2"/>
  <c r="CM106" i="2" s="1"/>
  <c r="CO53" i="2"/>
  <c r="D9" i="16"/>
  <c r="D19" i="16" s="1"/>
  <c r="CQ19" i="16"/>
  <c r="CR19" i="16" s="1"/>
  <c r="BC164" i="2" l="1"/>
  <c r="BD164" i="2" s="1"/>
  <c r="BD116" i="2"/>
  <c r="AY14" i="4"/>
  <c r="BE115" i="2"/>
  <c r="BA132" i="4"/>
  <c r="BB128" i="4" s="1"/>
  <c r="BB130" i="4" s="1"/>
  <c r="BP132" i="2"/>
  <c r="BQ132" i="2" s="1"/>
  <c r="CM108" i="2"/>
  <c r="BH6" i="3" s="1"/>
  <c r="BL163" i="2"/>
  <c r="BD44" i="4"/>
  <c r="BM120" i="2" s="1"/>
  <c r="R8" i="3"/>
  <c r="CN47" i="2"/>
  <c r="BX13" i="18"/>
  <c r="BX14" i="18" s="1"/>
  <c r="BX15" i="18" s="1"/>
  <c r="BY11" i="18" s="1"/>
  <c r="CP26" i="17"/>
  <c r="CO54" i="2" s="1"/>
  <c r="CO51" i="2" s="1"/>
  <c r="CO106" i="2" s="1"/>
  <c r="CR24" i="17"/>
  <c r="CR26" i="17" s="1"/>
  <c r="CQ54" i="2" s="1"/>
  <c r="BY55" i="18"/>
  <c r="BY56" i="18" s="1"/>
  <c r="BY57" i="18" s="1"/>
  <c r="BZ53" i="18" s="1"/>
  <c r="BY41" i="18"/>
  <c r="BY42" i="18" s="1"/>
  <c r="BY43" i="18" s="1"/>
  <c r="BZ39" i="18" s="1"/>
  <c r="BX27" i="18"/>
  <c r="BX28" i="18" s="1"/>
  <c r="BX29" i="18" s="1"/>
  <c r="BY25" i="18" s="1"/>
  <c r="CM48" i="2"/>
  <c r="CM109" i="2" s="1"/>
  <c r="CN51" i="2"/>
  <c r="CN106" i="2" s="1"/>
  <c r="CQ53" i="2"/>
  <c r="CP53" i="2"/>
  <c r="BP167" i="2" l="1"/>
  <c r="BH167" i="2"/>
  <c r="BK167" i="2"/>
  <c r="BJ167" i="2"/>
  <c r="BM167" i="2"/>
  <c r="BI167" i="2"/>
  <c r="BN167" i="2"/>
  <c r="BF167" i="2"/>
  <c r="BO167" i="2"/>
  <c r="BL167" i="2"/>
  <c r="BG167" i="2"/>
  <c r="BE167" i="2"/>
  <c r="AY15" i="4"/>
  <c r="AZ11" i="4" s="1"/>
  <c r="AZ13" i="4" s="1"/>
  <c r="BE116" i="2"/>
  <c r="CN108" i="2"/>
  <c r="BI6" i="3" s="1"/>
  <c r="BD45" i="4"/>
  <c r="BE41" i="4" s="1"/>
  <c r="BE43" i="4" s="1"/>
  <c r="CN48" i="2"/>
  <c r="CN109" i="2" s="1"/>
  <c r="CQ51" i="2"/>
  <c r="CQ106" i="2" s="1"/>
  <c r="CO47" i="2"/>
  <c r="CO108" i="2" s="1"/>
  <c r="BJ6" i="3" s="1"/>
  <c r="BY13" i="18"/>
  <c r="BY14" i="18" s="1"/>
  <c r="BY15" i="18" s="1"/>
  <c r="BZ11" i="18" s="1"/>
  <c r="D24" i="17"/>
  <c r="D26" i="17" s="1"/>
  <c r="CQ26" i="17"/>
  <c r="CP54" i="2" s="1"/>
  <c r="BZ55" i="18"/>
  <c r="BZ56" i="18" s="1"/>
  <c r="BZ57" i="18" s="1"/>
  <c r="CA53" i="18" s="1"/>
  <c r="BZ41" i="18"/>
  <c r="BZ42" i="18" s="1"/>
  <c r="BZ43" i="18" s="1"/>
  <c r="CA39" i="18" s="1"/>
  <c r="BY27" i="18"/>
  <c r="BY28" i="18" s="1"/>
  <c r="BY29" i="18" s="1"/>
  <c r="BZ25" i="18" s="1"/>
  <c r="C53" i="2"/>
  <c r="BE164" i="2" l="1"/>
  <c r="AZ14" i="4"/>
  <c r="BF115" i="2"/>
  <c r="BR131" i="2"/>
  <c r="BB131" i="4"/>
  <c r="BN119" i="2"/>
  <c r="C54" i="2"/>
  <c r="CP51" i="2"/>
  <c r="CO48" i="2"/>
  <c r="CO109" i="2" s="1"/>
  <c r="BZ13" i="18"/>
  <c r="BZ14" i="18" s="1"/>
  <c r="BZ15" i="18" s="1"/>
  <c r="CA11" i="18" s="1"/>
  <c r="CA55" i="18"/>
  <c r="CA56" i="18" s="1"/>
  <c r="CA57" i="18" s="1"/>
  <c r="CB53" i="18" s="1"/>
  <c r="CA41" i="18"/>
  <c r="CA42" i="18" s="1"/>
  <c r="CA43" i="18" s="1"/>
  <c r="CB39" i="18" s="1"/>
  <c r="BZ27" i="18"/>
  <c r="BZ28" i="18" s="1"/>
  <c r="BZ29" i="18" s="1"/>
  <c r="CA25" i="18" s="1"/>
  <c r="AX114" i="2"/>
  <c r="S7" i="3" s="1"/>
  <c r="CP47" i="2"/>
  <c r="CQ22" i="2"/>
  <c r="C22" i="2" s="1"/>
  <c r="D47" i="2" s="1"/>
  <c r="D48" i="2" s="1"/>
  <c r="AZ15" i="4" l="1"/>
  <c r="BA11" i="4" s="1"/>
  <c r="BA13" i="4" s="1"/>
  <c r="BF116" i="2"/>
  <c r="BB132" i="4"/>
  <c r="BC128" i="4" s="1"/>
  <c r="BC130" i="4" s="1"/>
  <c r="BR132" i="2"/>
  <c r="BM163" i="2"/>
  <c r="BE44" i="4"/>
  <c r="BN120" i="2" s="1"/>
  <c r="C51" i="2"/>
  <c r="CP106" i="2"/>
  <c r="CP108" i="2" s="1"/>
  <c r="BK6" i="3" s="1"/>
  <c r="CP48" i="2"/>
  <c r="CQ47" i="2"/>
  <c r="CQ108" i="2" s="1"/>
  <c r="BL6" i="3" s="1"/>
  <c r="S8" i="3"/>
  <c r="CA13" i="18"/>
  <c r="CA14" i="18" s="1"/>
  <c r="CA15" i="18" s="1"/>
  <c r="CB11" i="18" s="1"/>
  <c r="CB55" i="18"/>
  <c r="CB56" i="18" s="1"/>
  <c r="CB57" i="18" s="1"/>
  <c r="CC53" i="18" s="1"/>
  <c r="CB41" i="18"/>
  <c r="CB42" i="18" s="1"/>
  <c r="CB43" i="18" s="1"/>
  <c r="CC39" i="18" s="1"/>
  <c r="CA27" i="18"/>
  <c r="CA28" i="18" s="1"/>
  <c r="CA29" i="18" s="1"/>
  <c r="CB25" i="18" s="1"/>
  <c r="BF164" i="2" l="1"/>
  <c r="BA14" i="4"/>
  <c r="BG115" i="2"/>
  <c r="BE45" i="4"/>
  <c r="BF41" i="4" s="1"/>
  <c r="BF43" i="4" s="1"/>
  <c r="CP109" i="2"/>
  <c r="D106" i="2"/>
  <c r="C47" i="2" s="1"/>
  <c r="CQ48" i="2"/>
  <c r="CQ109" i="2" s="1"/>
  <c r="C109" i="2" s="1"/>
  <c r="CB13" i="18"/>
  <c r="CB14" i="18" s="1"/>
  <c r="CB15" i="18" s="1"/>
  <c r="CC11" i="18" s="1"/>
  <c r="CC55" i="18"/>
  <c r="CC56" i="18" s="1"/>
  <c r="CC57" i="18" s="1"/>
  <c r="CD53" i="18" s="1"/>
  <c r="CC41" i="18"/>
  <c r="CC42" i="18" s="1"/>
  <c r="CC43" i="18" s="1"/>
  <c r="CD39" i="18" s="1"/>
  <c r="CB27" i="18"/>
  <c r="CB28" i="18" s="1"/>
  <c r="CB29" i="18" s="1"/>
  <c r="CC25" i="18" s="1"/>
  <c r="BA15" i="4" l="1"/>
  <c r="BB11" i="4" s="1"/>
  <c r="BB13" i="4" s="1"/>
  <c r="BG116" i="2"/>
  <c r="BC131" i="4"/>
  <c r="BS131" i="2"/>
  <c r="BO119" i="2"/>
  <c r="C108" i="2"/>
  <c r="CC13" i="18"/>
  <c r="CC14" i="18" s="1"/>
  <c r="CC15" i="18" s="1"/>
  <c r="CD11" i="18" s="1"/>
  <c r="CD55" i="18"/>
  <c r="CD56" i="18" s="1"/>
  <c r="CD57" i="18" s="1"/>
  <c r="CE53" i="18" s="1"/>
  <c r="CD41" i="18"/>
  <c r="CD42" i="18" s="1"/>
  <c r="CD43" i="18" s="1"/>
  <c r="CE39" i="18" s="1"/>
  <c r="CC27" i="18"/>
  <c r="CC28" i="18" s="1"/>
  <c r="CC29" i="18" s="1"/>
  <c r="CD25" i="18" s="1"/>
  <c r="AY114" i="2"/>
  <c r="T7" i="3" s="1"/>
  <c r="BB14" i="4" l="1"/>
  <c r="BH115" i="2"/>
  <c r="BG164" i="2"/>
  <c r="BC132" i="4"/>
  <c r="BD128" i="4" s="1"/>
  <c r="BD130" i="4" s="1"/>
  <c r="BS132" i="2"/>
  <c r="BN163" i="2"/>
  <c r="BF44" i="4"/>
  <c r="BO120" i="2" s="1"/>
  <c r="T8" i="3"/>
  <c r="CD13" i="18"/>
  <c r="CD14" i="18" s="1"/>
  <c r="CD15" i="18" s="1"/>
  <c r="CE11" i="18" s="1"/>
  <c r="CE55" i="18"/>
  <c r="CE56" i="18" s="1"/>
  <c r="CE57" i="18" s="1"/>
  <c r="CF53" i="18" s="1"/>
  <c r="CE41" i="18"/>
  <c r="CE42" i="18" s="1"/>
  <c r="CE43" i="18" s="1"/>
  <c r="CF39" i="18" s="1"/>
  <c r="CD27" i="18"/>
  <c r="CD28" i="18" s="1"/>
  <c r="CD29" i="18" s="1"/>
  <c r="CE25" i="18" s="1"/>
  <c r="BB15" i="4" l="1"/>
  <c r="BC11" i="4" s="1"/>
  <c r="BC13" i="4" s="1"/>
  <c r="BH116" i="2"/>
  <c r="BF45" i="4"/>
  <c r="BG41" i="4" s="1"/>
  <c r="BG43" i="4" s="1"/>
  <c r="CE13" i="18"/>
  <c r="CE14" i="18" s="1"/>
  <c r="CE15" i="18" s="1"/>
  <c r="CF11" i="18" s="1"/>
  <c r="CF55" i="18"/>
  <c r="CF56" i="18" s="1"/>
  <c r="CF57" i="18" s="1"/>
  <c r="CG53" i="18" s="1"/>
  <c r="CF41" i="18"/>
  <c r="CF42" i="18" s="1"/>
  <c r="CF43" i="18" s="1"/>
  <c r="CG39" i="18" s="1"/>
  <c r="CE27" i="18"/>
  <c r="CE28" i="18" s="1"/>
  <c r="CE29" i="18" s="1"/>
  <c r="CF25" i="18" s="1"/>
  <c r="BH164" i="2" l="1"/>
  <c r="BC14" i="4"/>
  <c r="BI115" i="2"/>
  <c r="BD131" i="4"/>
  <c r="BT131" i="2"/>
  <c r="BP119" i="2"/>
  <c r="BQ119" i="2" s="1"/>
  <c r="CF13" i="18"/>
  <c r="CF14" i="18" s="1"/>
  <c r="CF15" i="18" s="1"/>
  <c r="CG11" i="18" s="1"/>
  <c r="CG55" i="18"/>
  <c r="CG56" i="18" s="1"/>
  <c r="CG57" i="18" s="1"/>
  <c r="CG41" i="18"/>
  <c r="CG42" i="18" s="1"/>
  <c r="CG43" i="18" s="1"/>
  <c r="CF27" i="18"/>
  <c r="CF28" i="18" s="1"/>
  <c r="CF29" i="18" s="1"/>
  <c r="CG25" i="18" s="1"/>
  <c r="AZ114" i="2"/>
  <c r="U7" i="3" s="1"/>
  <c r="BQ131" i="2"/>
  <c r="BC15" i="4" l="1"/>
  <c r="BD11" i="4" s="1"/>
  <c r="BD13" i="4" s="1"/>
  <c r="BI116" i="2"/>
  <c r="BD132" i="4"/>
  <c r="BE128" i="4" s="1"/>
  <c r="BE130" i="4" s="1"/>
  <c r="BT132" i="2"/>
  <c r="BO163" i="2"/>
  <c r="BG44" i="4"/>
  <c r="BP120" i="2" s="1"/>
  <c r="U8" i="3"/>
  <c r="CG13" i="18"/>
  <c r="CG14" i="18" s="1"/>
  <c r="CG15" i="18" s="1"/>
  <c r="CG27" i="18"/>
  <c r="CG28" i="18" s="1"/>
  <c r="CG29" i="18" s="1"/>
  <c r="BI164" i="2" l="1"/>
  <c r="BD14" i="4"/>
  <c r="BJ115" i="2"/>
  <c r="BG45" i="4"/>
  <c r="BH41" i="4" s="1"/>
  <c r="BH43" i="4" s="1"/>
  <c r="BD15" i="4" l="1"/>
  <c r="BE11" i="4" s="1"/>
  <c r="BE13" i="4" s="1"/>
  <c r="BJ116" i="2"/>
  <c r="BJ164" i="2" s="1"/>
  <c r="BE131" i="4"/>
  <c r="BU131" i="2"/>
  <c r="BR119" i="2"/>
  <c r="BA114" i="2"/>
  <c r="V7" i="3" s="1"/>
  <c r="BE14" i="4" l="1"/>
  <c r="BK115" i="2"/>
  <c r="BE132" i="4"/>
  <c r="BF128" i="4" s="1"/>
  <c r="BF130" i="4" s="1"/>
  <c r="BU132" i="2"/>
  <c r="BP163" i="2"/>
  <c r="BQ163" i="2" s="1"/>
  <c r="BH44" i="4"/>
  <c r="BR120" i="2" s="1"/>
  <c r="V8" i="3"/>
  <c r="BE15" i="4" l="1"/>
  <c r="BF11" i="4" s="1"/>
  <c r="BF13" i="4" s="1"/>
  <c r="BK116" i="2"/>
  <c r="BK164" i="2" s="1"/>
  <c r="BH45" i="4"/>
  <c r="BI41" i="4" s="1"/>
  <c r="BI43" i="4" s="1"/>
  <c r="BF14" i="4" l="1"/>
  <c r="BL115" i="2"/>
  <c r="BQ167" i="2"/>
  <c r="BF131" i="4"/>
  <c r="BV131" i="2"/>
  <c r="BS119" i="2"/>
  <c r="BB114" i="2"/>
  <c r="W7" i="3" s="1"/>
  <c r="BF15" i="4" l="1"/>
  <c r="BG11" i="4" s="1"/>
  <c r="BG13" i="4" s="1"/>
  <c r="BL116" i="2"/>
  <c r="BL164" i="2" s="1"/>
  <c r="BF132" i="4"/>
  <c r="BG128" i="4" s="1"/>
  <c r="BG130" i="4" s="1"/>
  <c r="BV132" i="2"/>
  <c r="BR163" i="2"/>
  <c r="BI44" i="4"/>
  <c r="BS120" i="2" s="1"/>
  <c r="W8" i="3"/>
  <c r="BG14" i="4" l="1"/>
  <c r="BM115" i="2"/>
  <c r="BI45" i="4"/>
  <c r="BJ41" i="4" s="1"/>
  <c r="BJ43" i="4" s="1"/>
  <c r="BG15" i="4" l="1"/>
  <c r="BH11" i="4" s="1"/>
  <c r="BH13" i="4" s="1"/>
  <c r="BM116" i="2"/>
  <c r="BM164" i="2" s="1"/>
  <c r="BG131" i="4"/>
  <c r="BW131" i="2"/>
  <c r="BT119" i="2"/>
  <c r="BC114" i="2"/>
  <c r="X7" i="3" s="1"/>
  <c r="BH14" i="4" l="1"/>
  <c r="BN115" i="2"/>
  <c r="BG132" i="4"/>
  <c r="BH128" i="4" s="1"/>
  <c r="BH130" i="4" s="1"/>
  <c r="BW132" i="2"/>
  <c r="BS163" i="2"/>
  <c r="BJ44" i="4"/>
  <c r="BT120" i="2" s="1"/>
  <c r="X8" i="3"/>
  <c r="BH15" i="4" l="1"/>
  <c r="BI11" i="4" s="1"/>
  <c r="BI13" i="4" s="1"/>
  <c r="BN116" i="2"/>
  <c r="BN164" i="2" s="1"/>
  <c r="BJ45" i="4"/>
  <c r="BK41" i="4" s="1"/>
  <c r="BK43" i="4" s="1"/>
  <c r="BD114" i="2"/>
  <c r="Y7" i="3" s="1"/>
  <c r="Y8" i="3" s="1"/>
  <c r="BI14" i="4" l="1"/>
  <c r="BO115" i="2"/>
  <c r="BX131" i="2"/>
  <c r="BH131" i="4"/>
  <c r="BU119" i="2"/>
  <c r="BI15" i="4" l="1"/>
  <c r="BJ11" i="4" s="1"/>
  <c r="BJ13" i="4" s="1"/>
  <c r="BO116" i="2"/>
  <c r="BO164" i="2" s="1"/>
  <c r="BH132" i="4"/>
  <c r="BI128" i="4" s="1"/>
  <c r="BI130" i="4" s="1"/>
  <c r="BX132" i="2"/>
  <c r="BT163" i="2"/>
  <c r="BK44" i="4"/>
  <c r="BU120" i="2" s="1"/>
  <c r="BE114" i="2"/>
  <c r="Z7" i="3" s="1"/>
  <c r="BJ14" i="4" l="1"/>
  <c r="BP115" i="2"/>
  <c r="BQ115" i="2" s="1"/>
  <c r="BK45" i="4"/>
  <c r="BL41" i="4" s="1"/>
  <c r="BL43" i="4" s="1"/>
  <c r="Z8" i="3"/>
  <c r="BJ15" i="4" l="1"/>
  <c r="BK11" i="4" s="1"/>
  <c r="BK13" i="4" s="1"/>
  <c r="BP116" i="2"/>
  <c r="BI131" i="4"/>
  <c r="BY131" i="2"/>
  <c r="BV119" i="2"/>
  <c r="BF114" i="2"/>
  <c r="AA7" i="3" s="1"/>
  <c r="BP164" i="2" l="1"/>
  <c r="BQ164" i="2" s="1"/>
  <c r="BQ116" i="2"/>
  <c r="BK14" i="4"/>
  <c r="BR115" i="2"/>
  <c r="BI132" i="4"/>
  <c r="BJ128" i="4" s="1"/>
  <c r="BJ130" i="4" s="1"/>
  <c r="BY132" i="2"/>
  <c r="BU163" i="2"/>
  <c r="BL44" i="4"/>
  <c r="BV120" i="2" s="1"/>
  <c r="AA8" i="3"/>
  <c r="BR167" i="2" l="1"/>
  <c r="BX167" i="2"/>
  <c r="BS167" i="2"/>
  <c r="BY167" i="2"/>
  <c r="BV167" i="2"/>
  <c r="CA167" i="2"/>
  <c r="BZ167" i="2"/>
  <c r="CB167" i="2"/>
  <c r="BT167" i="2"/>
  <c r="CC167" i="2"/>
  <c r="BW167" i="2"/>
  <c r="BU167" i="2"/>
  <c r="BK15" i="4"/>
  <c r="BL11" i="4" s="1"/>
  <c r="BL13" i="4" s="1"/>
  <c r="BR116" i="2"/>
  <c r="BL45" i="4"/>
  <c r="BM41" i="4" s="1"/>
  <c r="BM43" i="4" s="1"/>
  <c r="BR164" i="2" l="1"/>
  <c r="BL14" i="4"/>
  <c r="BS115" i="2"/>
  <c r="BZ131" i="2"/>
  <c r="BJ131" i="4"/>
  <c r="BW119" i="2"/>
  <c r="BG114" i="2"/>
  <c r="AB7" i="3" s="1"/>
  <c r="BQ120" i="2"/>
  <c r="BL15" i="4" l="1"/>
  <c r="BM11" i="4" s="1"/>
  <c r="BM13" i="4" s="1"/>
  <c r="BS116" i="2"/>
  <c r="BJ132" i="4"/>
  <c r="BK128" i="4" s="1"/>
  <c r="BK130" i="4" s="1"/>
  <c r="BZ132" i="2"/>
  <c r="BV163" i="2"/>
  <c r="BM44" i="4"/>
  <c r="BW120" i="2" s="1"/>
  <c r="AB8" i="3"/>
  <c r="BS164" i="2" l="1"/>
  <c r="BM14" i="4"/>
  <c r="BT115" i="2"/>
  <c r="BM45" i="4"/>
  <c r="BN41" i="4" s="1"/>
  <c r="BN43" i="4" s="1"/>
  <c r="BM15" i="4" l="1"/>
  <c r="BN11" i="4" s="1"/>
  <c r="BN13" i="4" s="1"/>
  <c r="BT116" i="2"/>
  <c r="BK131" i="4"/>
  <c r="CA131" i="2"/>
  <c r="BX119" i="2"/>
  <c r="BH114" i="2"/>
  <c r="AC7" i="3" s="1"/>
  <c r="BN14" i="4" l="1"/>
  <c r="BU115" i="2"/>
  <c r="BT164" i="2"/>
  <c r="BK132" i="4"/>
  <c r="BL128" i="4" s="1"/>
  <c r="BL130" i="4" s="1"/>
  <c r="CA132" i="2"/>
  <c r="BW163" i="2"/>
  <c r="BN44" i="4"/>
  <c r="BX120" i="2" s="1"/>
  <c r="AC8" i="3"/>
  <c r="BN15" i="4" l="1"/>
  <c r="BO11" i="4" s="1"/>
  <c r="BO13" i="4" s="1"/>
  <c r="BU116" i="2"/>
  <c r="BN45" i="4"/>
  <c r="BO41" i="4" s="1"/>
  <c r="BO43" i="4" s="1"/>
  <c r="BU164" i="2" l="1"/>
  <c r="BO14" i="4"/>
  <c r="BV115" i="2"/>
  <c r="BL131" i="4"/>
  <c r="CB131" i="2"/>
  <c r="BY119" i="2"/>
  <c r="BI114" i="2"/>
  <c r="AD7" i="3" s="1"/>
  <c r="BO15" i="4" l="1"/>
  <c r="BP11" i="4" s="1"/>
  <c r="BP13" i="4" s="1"/>
  <c r="BV116" i="2"/>
  <c r="BL132" i="4"/>
  <c r="BM128" i="4" s="1"/>
  <c r="BM130" i="4" s="1"/>
  <c r="CB132" i="2"/>
  <c r="BX163" i="2"/>
  <c r="BO44" i="4"/>
  <c r="BY120" i="2" s="1"/>
  <c r="AD8" i="3"/>
  <c r="BV164" i="2" l="1"/>
  <c r="BP14" i="4"/>
  <c r="BW115" i="2"/>
  <c r="BO45" i="4"/>
  <c r="BP41" i="4" s="1"/>
  <c r="BP43" i="4" s="1"/>
  <c r="BP15" i="4" l="1"/>
  <c r="BQ11" i="4" s="1"/>
  <c r="BQ13" i="4" s="1"/>
  <c r="BW116" i="2"/>
  <c r="BW164" i="2" s="1"/>
  <c r="CC131" i="2"/>
  <c r="CD131" i="2" s="1"/>
  <c r="BM131" i="4"/>
  <c r="BZ119" i="2"/>
  <c r="BJ114" i="2"/>
  <c r="AE7" i="3" s="1"/>
  <c r="BQ14" i="4" l="1"/>
  <c r="BX115" i="2"/>
  <c r="BM132" i="4"/>
  <c r="BN128" i="4" s="1"/>
  <c r="BN130" i="4" s="1"/>
  <c r="CC132" i="2"/>
  <c r="CD132" i="2" s="1"/>
  <c r="BY163" i="2"/>
  <c r="BP44" i="4"/>
  <c r="BZ120" i="2" s="1"/>
  <c r="AE8" i="3"/>
  <c r="BQ15" i="4" l="1"/>
  <c r="BR11" i="4" s="1"/>
  <c r="BR13" i="4" s="1"/>
  <c r="BX116" i="2"/>
  <c r="BX164" i="2" s="1"/>
  <c r="BP45" i="4"/>
  <c r="BQ41" i="4" s="1"/>
  <c r="BQ43" i="4" s="1"/>
  <c r="BR14" i="4" l="1"/>
  <c r="BY115" i="2"/>
  <c r="BN131" i="4"/>
  <c r="CE131" i="2"/>
  <c r="CA119" i="2"/>
  <c r="BK114" i="2"/>
  <c r="AF7" i="3" s="1"/>
  <c r="BR15" i="4" l="1"/>
  <c r="BS11" i="4" s="1"/>
  <c r="BS13" i="4" s="1"/>
  <c r="BY116" i="2"/>
  <c r="BY164" i="2" s="1"/>
  <c r="BN132" i="4"/>
  <c r="BO128" i="4" s="1"/>
  <c r="BO130" i="4" s="1"/>
  <c r="CE132" i="2"/>
  <c r="BZ163" i="2"/>
  <c r="BQ44" i="4"/>
  <c r="CA120" i="2" s="1"/>
  <c r="AF8" i="3"/>
  <c r="BS14" i="4" l="1"/>
  <c r="BZ115" i="2"/>
  <c r="BQ45" i="4"/>
  <c r="BR41" i="4" s="1"/>
  <c r="BR43" i="4" s="1"/>
  <c r="BS15" i="4" l="1"/>
  <c r="BT11" i="4" s="1"/>
  <c r="BT13" i="4" s="1"/>
  <c r="BZ116" i="2"/>
  <c r="BZ164" i="2" s="1"/>
  <c r="BO131" i="4"/>
  <c r="CF131" i="2"/>
  <c r="CB119" i="2"/>
  <c r="BL114" i="2"/>
  <c r="AG7" i="3" s="1"/>
  <c r="BT14" i="4" l="1"/>
  <c r="CA115" i="2"/>
  <c r="BO132" i="4"/>
  <c r="BP128" i="4" s="1"/>
  <c r="BP130" i="4" s="1"/>
  <c r="CF132" i="2"/>
  <c r="CA163" i="2"/>
  <c r="BR44" i="4"/>
  <c r="CB120" i="2" s="1"/>
  <c r="AG8" i="3"/>
  <c r="BT15" i="4" l="1"/>
  <c r="BU11" i="4" s="1"/>
  <c r="BU13" i="4" s="1"/>
  <c r="CA116" i="2"/>
  <c r="CA164" i="2" s="1"/>
  <c r="BR45" i="4"/>
  <c r="BS41" i="4" s="1"/>
  <c r="BS43" i="4" s="1"/>
  <c r="BU14" i="4" l="1"/>
  <c r="CB115" i="2"/>
  <c r="CG131" i="2"/>
  <c r="BP131" i="4"/>
  <c r="CC119" i="2"/>
  <c r="BM114" i="2"/>
  <c r="AH7" i="3" s="1"/>
  <c r="BU15" i="4" l="1"/>
  <c r="BV11" i="4" s="1"/>
  <c r="BV13" i="4" s="1"/>
  <c r="CB116" i="2"/>
  <c r="CB164" i="2" s="1"/>
  <c r="BP132" i="4"/>
  <c r="BQ128" i="4" s="1"/>
  <c r="BQ130" i="4" s="1"/>
  <c r="CG132" i="2"/>
  <c r="CB163" i="2"/>
  <c r="BS44" i="4"/>
  <c r="CC120" i="2" s="1"/>
  <c r="CD120" i="2" s="1"/>
  <c r="AH8" i="3"/>
  <c r="BV14" i="4" l="1"/>
  <c r="CC115" i="2"/>
  <c r="CD115" i="2" s="1"/>
  <c r="BS45" i="4"/>
  <c r="BT41" i="4" s="1"/>
  <c r="BT43" i="4" s="1"/>
  <c r="BV15" i="4" l="1"/>
  <c r="BW11" i="4" s="1"/>
  <c r="BW13" i="4" s="1"/>
  <c r="CC116" i="2"/>
  <c r="BQ131" i="4"/>
  <c r="CH131" i="2"/>
  <c r="CE119" i="2"/>
  <c r="BN114" i="2"/>
  <c r="AI7" i="3" s="1"/>
  <c r="CC164" i="2" l="1"/>
  <c r="CD116" i="2"/>
  <c r="BW14" i="4"/>
  <c r="CE115" i="2"/>
  <c r="BQ132" i="4"/>
  <c r="BR128" i="4" s="1"/>
  <c r="BR130" i="4" s="1"/>
  <c r="CH132" i="2"/>
  <c r="CC163" i="2"/>
  <c r="CD163" i="2" s="1"/>
  <c r="BT44" i="4"/>
  <c r="CE120" i="2" s="1"/>
  <c r="AI8" i="3"/>
  <c r="BW15" i="4" l="1"/>
  <c r="BX11" i="4" s="1"/>
  <c r="BX13" i="4" s="1"/>
  <c r="CE116" i="2"/>
  <c r="BT45" i="4"/>
  <c r="BU41" i="4" s="1"/>
  <c r="BU43" i="4" s="1"/>
  <c r="CD167" i="2"/>
  <c r="CE164" i="2" l="1"/>
  <c r="BX14" i="4"/>
  <c r="CF115" i="2"/>
  <c r="BR131" i="4"/>
  <c r="CI131" i="2"/>
  <c r="CF119" i="2"/>
  <c r="BO114" i="2"/>
  <c r="AJ7" i="3" s="1"/>
  <c r="BX15" i="4" l="1"/>
  <c r="BY11" i="4" s="1"/>
  <c r="BY13" i="4" s="1"/>
  <c r="CF116" i="2"/>
  <c r="BR132" i="4"/>
  <c r="BS128" i="4" s="1"/>
  <c r="BS130" i="4" s="1"/>
  <c r="CI132" i="2"/>
  <c r="CE163" i="2"/>
  <c r="BU44" i="4"/>
  <c r="CF120" i="2" s="1"/>
  <c r="AJ8" i="3"/>
  <c r="CF164" i="2" l="1"/>
  <c r="BY14" i="4"/>
  <c r="CG115" i="2"/>
  <c r="BU45" i="4"/>
  <c r="BV41" i="4" s="1"/>
  <c r="BV43" i="4" s="1"/>
  <c r="BY15" i="4" l="1"/>
  <c r="BZ11" i="4" s="1"/>
  <c r="BZ13" i="4" s="1"/>
  <c r="CG116" i="2"/>
  <c r="BS131" i="4"/>
  <c r="CJ131" i="2"/>
  <c r="CG119" i="2"/>
  <c r="BP114" i="2"/>
  <c r="AK7" i="3" s="1"/>
  <c r="BZ14" i="4" l="1"/>
  <c r="CH115" i="2"/>
  <c r="BS132" i="4"/>
  <c r="BT128" i="4" s="1"/>
  <c r="BT130" i="4" s="1"/>
  <c r="CJ132" i="2"/>
  <c r="CF163" i="2"/>
  <c r="BV44" i="4"/>
  <c r="CG120" i="2" s="1"/>
  <c r="CG164" i="2" s="1"/>
  <c r="AK8" i="3"/>
  <c r="BZ15" i="4" l="1"/>
  <c r="CA11" i="4" s="1"/>
  <c r="CA13" i="4" s="1"/>
  <c r="CH116" i="2"/>
  <c r="BV45" i="4"/>
  <c r="BW41" i="4" s="1"/>
  <c r="BW43" i="4" s="1"/>
  <c r="BQ114" i="2"/>
  <c r="AL7" i="3" s="1"/>
  <c r="AL8" i="3" s="1"/>
  <c r="CA14" i="4" l="1"/>
  <c r="CI115" i="2"/>
  <c r="BT131" i="4"/>
  <c r="CK131" i="2"/>
  <c r="CH119" i="2"/>
  <c r="CA15" i="4" l="1"/>
  <c r="CB11" i="4" s="1"/>
  <c r="CI116" i="2"/>
  <c r="BT132" i="4"/>
  <c r="BU128" i="4" s="1"/>
  <c r="BU130" i="4" s="1"/>
  <c r="CK132" i="2"/>
  <c r="CG163" i="2"/>
  <c r="BW44" i="4"/>
  <c r="CH120" i="2" s="1"/>
  <c r="CH164" i="2" s="1"/>
  <c r="BR114" i="2"/>
  <c r="AM7" i="3" s="1"/>
  <c r="CB13" i="4" l="1"/>
  <c r="BW45" i="4"/>
  <c r="BX41" i="4" s="1"/>
  <c r="BX43" i="4" s="1"/>
  <c r="AM8" i="3"/>
  <c r="CB14" i="4" l="1"/>
  <c r="CJ115" i="2"/>
  <c r="BU131" i="4"/>
  <c r="CL131" i="2"/>
  <c r="CI119" i="2"/>
  <c r="BS114" i="2"/>
  <c r="AN7" i="3" s="1"/>
  <c r="CJ116" i="2" l="1"/>
  <c r="CB15" i="4"/>
  <c r="CC11" i="4" s="1"/>
  <c r="CC13" i="4" s="1"/>
  <c r="BU132" i="4"/>
  <c r="BV128" i="4" s="1"/>
  <c r="BV130" i="4" s="1"/>
  <c r="CL132" i="2"/>
  <c r="CH163" i="2"/>
  <c r="BX44" i="4"/>
  <c r="CI120" i="2" s="1"/>
  <c r="CI164" i="2" s="1"/>
  <c r="AN8" i="3"/>
  <c r="CC14" i="4" l="1"/>
  <c r="CK115" i="2"/>
  <c r="BX45" i="4"/>
  <c r="BY41" i="4" s="1"/>
  <c r="BY43" i="4" s="1"/>
  <c r="CD119" i="2"/>
  <c r="CC15" i="4" l="1"/>
  <c r="CD11" i="4" s="1"/>
  <c r="CD13" i="4" s="1"/>
  <c r="CK116" i="2"/>
  <c r="BV131" i="4"/>
  <c r="CM131" i="2"/>
  <c r="CJ119" i="2"/>
  <c r="BT114" i="2"/>
  <c r="AO7" i="3" s="1"/>
  <c r="CD14" i="4" l="1"/>
  <c r="CL115" i="2"/>
  <c r="BV132" i="4"/>
  <c r="BW128" i="4" s="1"/>
  <c r="BW130" i="4" s="1"/>
  <c r="CM132" i="2"/>
  <c r="CI163" i="2"/>
  <c r="BY44" i="4"/>
  <c r="CJ120" i="2" s="1"/>
  <c r="CJ164" i="2" s="1"/>
  <c r="AO8" i="3"/>
  <c r="CD15" i="4" l="1"/>
  <c r="CE11" i="4" s="1"/>
  <c r="CE13" i="4" s="1"/>
  <c r="CL116" i="2"/>
  <c r="BY45" i="4"/>
  <c r="BZ41" i="4" s="1"/>
  <c r="BZ43" i="4" s="1"/>
  <c r="CE14" i="4" l="1"/>
  <c r="CM115" i="2"/>
  <c r="BW131" i="4"/>
  <c r="CN131" i="2"/>
  <c r="CK119" i="2"/>
  <c r="BU114" i="2"/>
  <c r="AP7" i="3" s="1"/>
  <c r="CE15" i="4" l="1"/>
  <c r="CF11" i="4" s="1"/>
  <c r="CF13" i="4" s="1"/>
  <c r="CM116" i="2"/>
  <c r="BW132" i="4"/>
  <c r="BX128" i="4" s="1"/>
  <c r="BX130" i="4" s="1"/>
  <c r="CN132" i="2"/>
  <c r="CJ163" i="2"/>
  <c r="BZ44" i="4"/>
  <c r="CK120" i="2" s="1"/>
  <c r="CK164" i="2" s="1"/>
  <c r="AP8" i="3"/>
  <c r="CF14" i="4" l="1"/>
  <c r="CN115" i="2"/>
  <c r="BZ45" i="4"/>
  <c r="CA41" i="4" s="1"/>
  <c r="CA43" i="4" s="1"/>
  <c r="CF15" i="4" l="1"/>
  <c r="CG11" i="4" s="1"/>
  <c r="CG13" i="4" s="1"/>
  <c r="CN116" i="2"/>
  <c r="BX131" i="4"/>
  <c r="CO131" i="2"/>
  <c r="CL119" i="2"/>
  <c r="BV114" i="2"/>
  <c r="AQ7" i="3" s="1"/>
  <c r="CG14" i="4" l="1"/>
  <c r="CO115" i="2"/>
  <c r="BX132" i="4"/>
  <c r="BY128" i="4" s="1"/>
  <c r="BY130" i="4" s="1"/>
  <c r="CO132" i="2"/>
  <c r="CK163" i="2"/>
  <c r="CA44" i="4"/>
  <c r="CL120" i="2" s="1"/>
  <c r="CL164" i="2" s="1"/>
  <c r="AQ8" i="3"/>
  <c r="CG15" i="4" l="1"/>
  <c r="CH11" i="4" s="1"/>
  <c r="CH13" i="4" s="1"/>
  <c r="CO116" i="2"/>
  <c r="CP131" i="2"/>
  <c r="CQ131" i="2" s="1"/>
  <c r="CA45" i="4"/>
  <c r="CB41" i="4" s="1"/>
  <c r="CB43" i="4" s="1"/>
  <c r="CQ116" i="2" l="1"/>
  <c r="CP115" i="2"/>
  <c r="CQ115" i="2" s="1"/>
  <c r="BY129" i="4"/>
  <c r="BY131" i="4" s="1"/>
  <c r="CM119" i="2"/>
  <c r="BW114" i="2"/>
  <c r="AR7" i="3" s="1"/>
  <c r="BY132" i="4" l="1"/>
  <c r="CP132" i="2"/>
  <c r="CQ132" i="2" s="1"/>
  <c r="CL163" i="2"/>
  <c r="CB44" i="4"/>
  <c r="CM120" i="2" s="1"/>
  <c r="CM164" i="2" s="1"/>
  <c r="AR8" i="3"/>
  <c r="BZ131" i="4" l="1"/>
  <c r="BZ128" i="4"/>
  <c r="CB45" i="4"/>
  <c r="CC41" i="4" s="1"/>
  <c r="CC43" i="4" s="1"/>
  <c r="BZ132" i="4" l="1"/>
  <c r="BZ130" i="4"/>
  <c r="CN119" i="2"/>
  <c r="BX114" i="2"/>
  <c r="AS7" i="3" s="1"/>
  <c r="CM163" i="2" l="1"/>
  <c r="CC44" i="4"/>
  <c r="CN120" i="2" s="1"/>
  <c r="CN164" i="2" s="1"/>
  <c r="AS8" i="3"/>
  <c r="CC45" i="4" l="1"/>
  <c r="CD41" i="4" s="1"/>
  <c r="CD43" i="4" s="1"/>
  <c r="CO119" i="2" l="1"/>
  <c r="BY114" i="2"/>
  <c r="AT7" i="3" s="1"/>
  <c r="CN163" i="2" l="1"/>
  <c r="CD44" i="4"/>
  <c r="CO120" i="2" s="1"/>
  <c r="CO164" i="2" s="1"/>
  <c r="AT8" i="3"/>
  <c r="CD45" i="4" l="1"/>
  <c r="CE41" i="4" s="1"/>
  <c r="CE43" i="4" s="1"/>
  <c r="CE44" i="4" s="1"/>
  <c r="CE45" i="4" s="1"/>
  <c r="CF41" i="4" s="1"/>
  <c r="CF43" i="4" s="1"/>
  <c r="CF42" i="4" s="1"/>
  <c r="CF44" i="4" s="1"/>
  <c r="CF45" i="4" s="1"/>
  <c r="C131" i="2"/>
  <c r="BZ114" i="2" l="1"/>
  <c r="AU7" i="3" s="1"/>
  <c r="C132" i="2"/>
  <c r="CO163" i="2" l="1"/>
  <c r="CP119" i="2"/>
  <c r="CP120" i="2"/>
  <c r="CP164" i="2" s="1"/>
  <c r="AU8" i="3"/>
  <c r="CP163" i="2" l="1"/>
  <c r="CQ163" i="2" s="1"/>
  <c r="CA114" i="2" l="1"/>
  <c r="AV7" i="3" s="1"/>
  <c r="AV8" i="3" l="1"/>
  <c r="CB114" i="2" l="1"/>
  <c r="AW7" i="3" s="1"/>
  <c r="AW8" i="3" l="1"/>
  <c r="CC114" i="2" l="1"/>
  <c r="AX7" i="3" s="1"/>
  <c r="AX8" i="3" l="1"/>
  <c r="CD164" i="2" l="1"/>
  <c r="CE167" i="2" s="1"/>
  <c r="CF167" i="2" s="1"/>
  <c r="CG167" i="2" s="1"/>
  <c r="CH167" i="2" s="1"/>
  <c r="CI167" i="2" s="1"/>
  <c r="CJ167" i="2" s="1"/>
  <c r="CK167" i="2" s="1"/>
  <c r="CL167" i="2" s="1"/>
  <c r="CM167" i="2" s="1"/>
  <c r="CN167" i="2" s="1"/>
  <c r="CO167" i="2" s="1"/>
  <c r="CD114" i="2"/>
  <c r="AY7" i="3" s="1"/>
  <c r="AY8" i="3" s="1"/>
  <c r="CE114" i="2" l="1"/>
  <c r="AZ7" i="3" s="1"/>
  <c r="AZ8" i="3" l="1"/>
  <c r="CF114" i="2" l="1"/>
  <c r="BA7" i="3" s="1"/>
  <c r="BA8" i="3" l="1"/>
  <c r="CQ119" i="2"/>
  <c r="C119" i="2" s="1"/>
  <c r="CQ120" i="2" l="1"/>
  <c r="C120" i="2" s="1"/>
  <c r="CG114" i="2" l="1"/>
  <c r="BB7" i="3" s="1"/>
  <c r="BB8" i="3" l="1"/>
  <c r="CH114" i="2" l="1"/>
  <c r="BC7" i="3" s="1"/>
  <c r="BC8" i="3" l="1"/>
  <c r="CI114" i="2" l="1"/>
  <c r="BD7" i="3" s="1"/>
  <c r="C115" i="2"/>
  <c r="BD8" i="3" l="1"/>
  <c r="C116" i="2"/>
  <c r="CJ114" i="2" l="1"/>
  <c r="BE7" i="3" s="1"/>
  <c r="BE8" i="3" l="1"/>
  <c r="CK114" i="2" l="1"/>
  <c r="BF7" i="3" s="1"/>
  <c r="BF8" i="3" l="1"/>
  <c r="CL114" i="2" l="1"/>
  <c r="BG7" i="3" s="1"/>
  <c r="BG8" i="3" l="1"/>
  <c r="CM114" i="2" l="1"/>
  <c r="BH7" i="3" s="1"/>
  <c r="BH8" i="3" l="1"/>
  <c r="CN114" i="2" l="1"/>
  <c r="BI7" i="3" s="1"/>
  <c r="BI8" i="3" l="1"/>
  <c r="CO114" i="2" l="1"/>
  <c r="BJ7" i="3" s="1"/>
  <c r="BJ8" i="3" l="1"/>
  <c r="C163" i="2" l="1"/>
  <c r="CP114" i="2"/>
  <c r="BK7" i="3" s="1"/>
  <c r="CQ164" i="2" l="1"/>
  <c r="C164" i="2" s="1"/>
  <c r="CQ114" i="2"/>
  <c r="BL7" i="3" s="1"/>
  <c r="BK8" i="3"/>
  <c r="BL8" i="3" l="1"/>
  <c r="C114" i="2"/>
  <c r="C86" i="2" l="1"/>
  <c r="C87" i="2"/>
  <c r="C88" i="2"/>
  <c r="C89" i="2"/>
  <c r="C92" i="2"/>
  <c r="C94" i="2"/>
  <c r="C93" i="2"/>
  <c r="C95" i="2"/>
  <c r="C98" i="2"/>
  <c r="C100" i="2"/>
  <c r="C99" i="2"/>
  <c r="C101" i="2"/>
  <c r="F184" i="2" l="1"/>
  <c r="F185" i="2" l="1"/>
  <c r="G184" i="2"/>
  <c r="Q183" i="2"/>
  <c r="E185" i="2"/>
  <c r="E187" i="2" s="1"/>
  <c r="E189" i="2" s="1"/>
  <c r="E179" i="2"/>
  <c r="F173" i="2" l="1"/>
  <c r="G185" i="2"/>
  <c r="H184" i="2"/>
  <c r="E181" i="2"/>
  <c r="F110" i="2" s="1"/>
  <c r="F166" i="2" s="1"/>
  <c r="H185" i="2" l="1"/>
  <c r="I184" i="2"/>
  <c r="F176" i="2"/>
  <c r="F177" i="2"/>
  <c r="F174" i="2"/>
  <c r="F175" i="2"/>
  <c r="F195" i="2" l="1"/>
  <c r="F186" i="2"/>
  <c r="F187" i="2" s="1"/>
  <c r="F189" i="2" s="1"/>
  <c r="I185" i="2"/>
  <c r="J184" i="2"/>
  <c r="F179" i="2"/>
  <c r="F181" i="2" s="1"/>
  <c r="G110" i="2" s="1"/>
  <c r="G166" i="2" s="1"/>
  <c r="G173" i="2" l="1"/>
  <c r="G177" i="2"/>
  <c r="G174" i="2"/>
  <c r="G175" i="2"/>
  <c r="G176" i="2"/>
  <c r="J185" i="2"/>
  <c r="K184" i="2"/>
  <c r="G179" i="2" l="1"/>
  <c r="G195" i="2"/>
  <c r="G186" i="2"/>
  <c r="G187" i="2" s="1"/>
  <c r="G189" i="2" s="1"/>
  <c r="K185" i="2"/>
  <c r="L184" i="2"/>
  <c r="H173" i="2" l="1"/>
  <c r="G181" i="2"/>
  <c r="H177" i="2"/>
  <c r="H175" i="2"/>
  <c r="H174" i="2"/>
  <c r="H176" i="2"/>
  <c r="L185" i="2"/>
  <c r="M184" i="2"/>
  <c r="H110" i="2" l="1"/>
  <c r="H166" i="2" s="1"/>
  <c r="H195" i="2"/>
  <c r="H186" i="2"/>
  <c r="H187" i="2" s="1"/>
  <c r="H189" i="2" s="1"/>
  <c r="H179" i="2"/>
  <c r="M185" i="2"/>
  <c r="N184" i="2"/>
  <c r="I173" i="2" l="1"/>
  <c r="H181" i="2"/>
  <c r="N185" i="2"/>
  <c r="O184" i="2"/>
  <c r="I177" i="2"/>
  <c r="I174" i="2"/>
  <c r="I176" i="2"/>
  <c r="I175" i="2"/>
  <c r="I110" i="2" l="1"/>
  <c r="I166" i="2" s="1"/>
  <c r="I195" i="2"/>
  <c r="O185" i="2"/>
  <c r="P184" i="2"/>
  <c r="I186" i="2"/>
  <c r="I187" i="2" s="1"/>
  <c r="I189" i="2" s="1"/>
  <c r="I179" i="2"/>
  <c r="J173" i="2" l="1"/>
  <c r="I181" i="2"/>
  <c r="Q182" i="2"/>
  <c r="R182" i="2" s="1"/>
  <c r="P185" i="2"/>
  <c r="Q185" i="2" s="1"/>
  <c r="Q184" i="2"/>
  <c r="J110" i="2" l="1"/>
  <c r="J166" i="2" s="1"/>
  <c r="R183" i="2"/>
  <c r="R184" i="2" s="1"/>
  <c r="S182" i="2"/>
  <c r="J175" i="2"/>
  <c r="J174" i="2"/>
  <c r="J176" i="2"/>
  <c r="J177" i="2"/>
  <c r="J195" i="2" l="1"/>
  <c r="S183" i="2"/>
  <c r="S184" i="2" s="1"/>
  <c r="T182" i="2"/>
  <c r="R185" i="2"/>
  <c r="J186" i="2"/>
  <c r="J187" i="2" s="1"/>
  <c r="J189" i="2" s="1"/>
  <c r="J179" i="2"/>
  <c r="J181" i="2" s="1"/>
  <c r="K173" i="2" l="1"/>
  <c r="S185" i="2"/>
  <c r="U182" i="2"/>
  <c r="T183" i="2"/>
  <c r="T184" i="2" s="1"/>
  <c r="K110" i="2"/>
  <c r="K166" i="2" s="1"/>
  <c r="K174" i="2"/>
  <c r="K176" i="2"/>
  <c r="K177" i="2"/>
  <c r="K175" i="2"/>
  <c r="K195" i="2" l="1"/>
  <c r="T185" i="2"/>
  <c r="V182" i="2"/>
  <c r="U183" i="2"/>
  <c r="U184" i="2" s="1"/>
  <c r="K186" i="2"/>
  <c r="K187" i="2" s="1"/>
  <c r="K189" i="2" s="1"/>
  <c r="K179" i="2"/>
  <c r="L173" i="2" l="1"/>
  <c r="V183" i="2"/>
  <c r="V184" i="2" s="1"/>
  <c r="W182" i="2"/>
  <c r="U185" i="2"/>
  <c r="K181" i="2"/>
  <c r="L110" i="2" s="1"/>
  <c r="L166" i="2" s="1"/>
  <c r="X182" i="2" l="1"/>
  <c r="W183" i="2"/>
  <c r="W184" i="2" s="1"/>
  <c r="V185" i="2"/>
  <c r="L174" i="2"/>
  <c r="L175" i="2"/>
  <c r="L176" i="2"/>
  <c r="L177" i="2"/>
  <c r="L195" i="2" l="1"/>
  <c r="X183" i="2"/>
  <c r="X184" i="2" s="1"/>
  <c r="Y182" i="2"/>
  <c r="W185" i="2"/>
  <c r="L186" i="2"/>
  <c r="L187" i="2" s="1"/>
  <c r="L189" i="2" s="1"/>
  <c r="L179" i="2"/>
  <c r="M173" i="2" l="1"/>
  <c r="Z182" i="2"/>
  <c r="Y183" i="2"/>
  <c r="X185" i="2"/>
  <c r="L181" i="2"/>
  <c r="M110" i="2" s="1"/>
  <c r="M166" i="2" s="1"/>
  <c r="M175" i="2"/>
  <c r="M177" i="2"/>
  <c r="M176" i="2"/>
  <c r="M174" i="2"/>
  <c r="M195" i="2" l="1"/>
  <c r="Y184" i="2"/>
  <c r="Y185" i="2" s="1"/>
  <c r="Z183" i="2"/>
  <c r="AA182" i="2"/>
  <c r="M186" i="2"/>
  <c r="M187" i="2" s="1"/>
  <c r="M189" i="2" s="1"/>
  <c r="M179" i="2"/>
  <c r="N173" i="2" l="1"/>
  <c r="Z184" i="2"/>
  <c r="AA183" i="2"/>
  <c r="AB182" i="2"/>
  <c r="M181" i="2"/>
  <c r="N110" i="2" s="1"/>
  <c r="N166" i="2" s="1"/>
  <c r="Z185" i="2" l="1"/>
  <c r="AA184" i="2"/>
  <c r="AB183" i="2"/>
  <c r="AC182" i="2"/>
  <c r="N176" i="2"/>
  <c r="N174" i="2"/>
  <c r="N177" i="2"/>
  <c r="N175" i="2"/>
  <c r="N195" i="2" l="1"/>
  <c r="AB184" i="2"/>
  <c r="AA185" i="2"/>
  <c r="AD182" i="2"/>
  <c r="AC183" i="2"/>
  <c r="N186" i="2"/>
  <c r="N187" i="2" s="1"/>
  <c r="N189" i="2" s="1"/>
  <c r="N179" i="2"/>
  <c r="N181" i="2" s="1"/>
  <c r="O110" i="2" s="1"/>
  <c r="O166" i="2" s="1"/>
  <c r="O173" i="2" l="1"/>
  <c r="AB185" i="2"/>
  <c r="AC184" i="2"/>
  <c r="AD183" i="2"/>
  <c r="AC185" i="2" l="1"/>
  <c r="AE182" i="2"/>
  <c r="AF182" i="2" s="1"/>
  <c r="AG182" i="2" s="1"/>
  <c r="AH182" i="2" s="1"/>
  <c r="AI182" i="2" s="1"/>
  <c r="AJ182" i="2" s="1"/>
  <c r="AK182" i="2" s="1"/>
  <c r="AL182" i="2" s="1"/>
  <c r="AM182" i="2" s="1"/>
  <c r="AD185" i="2"/>
  <c r="O174" i="2"/>
  <c r="O177" i="2"/>
  <c r="O176" i="2"/>
  <c r="O175" i="2"/>
  <c r="O195" i="2" l="1"/>
  <c r="AE183" i="2"/>
  <c r="AE184" i="2" s="1"/>
  <c r="O186" i="2"/>
  <c r="O187" i="2" s="1"/>
  <c r="O189" i="2" s="1"/>
  <c r="O179" i="2"/>
  <c r="O181" i="2" s="1"/>
  <c r="P110" i="2" s="1"/>
  <c r="P173" i="2" l="1"/>
  <c r="AE185" i="2"/>
  <c r="P166" i="2"/>
  <c r="Q110" i="2"/>
  <c r="P177" i="2" l="1"/>
  <c r="P176" i="2"/>
  <c r="P175" i="2"/>
  <c r="P174" i="2"/>
  <c r="P195" i="2" l="1"/>
  <c r="P186" i="2"/>
  <c r="P187" i="2" s="1"/>
  <c r="P189" i="2" s="1"/>
  <c r="P179" i="2"/>
  <c r="Q173" i="2" l="1"/>
  <c r="P181" i="2"/>
  <c r="Q166" i="2" s="1"/>
  <c r="Q174" i="2" l="1"/>
  <c r="Q175" i="2"/>
  <c r="Q177" i="2"/>
  <c r="Q176" i="2"/>
  <c r="Q195" i="2" l="1"/>
  <c r="Q186" i="2"/>
  <c r="Q187" i="2" s="1"/>
  <c r="Q189" i="2" s="1"/>
  <c r="Q179" i="2"/>
  <c r="R173" i="2" l="1"/>
  <c r="Q181" i="2"/>
  <c r="R110" i="2" s="1"/>
  <c r="R166" i="2" s="1"/>
  <c r="R175" i="2" l="1"/>
  <c r="R174" i="2"/>
  <c r="R177" i="2"/>
  <c r="R176" i="2"/>
  <c r="R195" i="2" l="1"/>
  <c r="R186" i="2"/>
  <c r="R187" i="2" s="1"/>
  <c r="R189" i="2" s="1"/>
  <c r="R179" i="2"/>
  <c r="R181" i="2" s="1"/>
  <c r="S110" i="2" s="1"/>
  <c r="S166" i="2" s="1"/>
  <c r="S173" i="2" l="1"/>
  <c r="S174" i="2"/>
  <c r="S176" i="2"/>
  <c r="S175" i="2"/>
  <c r="S177" i="2"/>
  <c r="S195" i="2" l="1"/>
  <c r="S186" i="2"/>
  <c r="S187" i="2" s="1"/>
  <c r="S189" i="2" s="1"/>
  <c r="S179" i="2"/>
  <c r="S181" i="2" s="1"/>
  <c r="T110" i="2" s="1"/>
  <c r="T166" i="2" s="1"/>
  <c r="T173" i="2" l="1"/>
  <c r="T177" i="2"/>
  <c r="T175" i="2"/>
  <c r="T176" i="2"/>
  <c r="T174" i="2"/>
  <c r="T195" i="2" l="1"/>
  <c r="T186" i="2"/>
  <c r="T187" i="2" s="1"/>
  <c r="T189" i="2" s="1"/>
  <c r="T179" i="2"/>
  <c r="T181" i="2" s="1"/>
  <c r="U110" i="2" s="1"/>
  <c r="U166" i="2" s="1"/>
  <c r="U173" i="2" l="1"/>
  <c r="U175" i="2"/>
  <c r="U177" i="2"/>
  <c r="U174" i="2"/>
  <c r="U176" i="2"/>
  <c r="U195" i="2" l="1"/>
  <c r="U186" i="2"/>
  <c r="U187" i="2" s="1"/>
  <c r="U189" i="2" s="1"/>
  <c r="U179" i="2"/>
  <c r="U181" i="2" s="1"/>
  <c r="V110" i="2" s="1"/>
  <c r="V166" i="2" s="1"/>
  <c r="V173" i="2" l="1"/>
  <c r="V177" i="2"/>
  <c r="V175" i="2"/>
  <c r="V174" i="2"/>
  <c r="V176" i="2"/>
  <c r="V195" i="2" l="1"/>
  <c r="V186" i="2"/>
  <c r="V187" i="2" s="1"/>
  <c r="V189" i="2" s="1"/>
  <c r="V179" i="2"/>
  <c r="V181" i="2" s="1"/>
  <c r="W110" i="2" s="1"/>
  <c r="W166" i="2" s="1"/>
  <c r="W173" i="2" l="1"/>
  <c r="W177" i="2"/>
  <c r="W175" i="2"/>
  <c r="W174" i="2"/>
  <c r="W176" i="2"/>
  <c r="W195" i="2" l="1"/>
  <c r="W186" i="2"/>
  <c r="W187" i="2" s="1"/>
  <c r="W189" i="2" s="1"/>
  <c r="W179" i="2"/>
  <c r="W181" i="2" s="1"/>
  <c r="X110" i="2" s="1"/>
  <c r="X166" i="2" s="1"/>
  <c r="X173" i="2" l="1"/>
  <c r="X174" i="2"/>
  <c r="X175" i="2"/>
  <c r="X176" i="2"/>
  <c r="X177" i="2"/>
  <c r="X195" i="2" l="1"/>
  <c r="X186" i="2"/>
  <c r="X187" i="2" s="1"/>
  <c r="X189" i="2" s="1"/>
  <c r="X179" i="2"/>
  <c r="X181" i="2" s="1"/>
  <c r="Y110" i="2" s="1"/>
  <c r="Y166" i="2" s="1"/>
  <c r="Y173" i="2" l="1"/>
  <c r="Y174" i="2"/>
  <c r="Y176" i="2"/>
  <c r="Y175" i="2"/>
  <c r="Y177" i="2"/>
  <c r="Y195" i="2" l="1"/>
  <c r="Y186" i="2"/>
  <c r="Y187" i="2" s="1"/>
  <c r="Y189" i="2" s="1"/>
  <c r="Y179" i="2"/>
  <c r="Z173" i="2" l="1"/>
  <c r="Y181" i="2"/>
  <c r="Z110" i="2" s="1"/>
  <c r="Z166" i="2" s="1"/>
  <c r="Z174" i="2" l="1"/>
  <c r="Z176" i="2"/>
  <c r="Z177" i="2"/>
  <c r="Z175" i="2"/>
  <c r="Z195" i="2" l="1"/>
  <c r="Z186" i="2"/>
  <c r="Z187" i="2" s="1"/>
  <c r="Z189" i="2" s="1"/>
  <c r="Z179" i="2"/>
  <c r="Z181" i="2" s="1"/>
  <c r="AA110" i="2" s="1"/>
  <c r="AA166" i="2" s="1"/>
  <c r="AA173" i="2" l="1"/>
  <c r="AA175" i="2"/>
  <c r="AA174" i="2" l="1"/>
  <c r="AA176" i="2"/>
  <c r="AA177" i="2"/>
  <c r="AA195" i="2" l="1"/>
  <c r="AA186" i="2"/>
  <c r="AA187" i="2" s="1"/>
  <c r="AA189" i="2" s="1"/>
  <c r="AA179" i="2"/>
  <c r="AA181" i="2" s="1"/>
  <c r="AB110" i="2" s="1"/>
  <c r="AB166" i="2" s="1"/>
  <c r="AB173" i="2" l="1"/>
  <c r="AB177" i="2"/>
  <c r="AB175" i="2"/>
  <c r="AB174" i="2"/>
  <c r="AB176" i="2"/>
  <c r="AB195" i="2" l="1"/>
  <c r="AB186" i="2"/>
  <c r="AB187" i="2" s="1"/>
  <c r="AB189" i="2" s="1"/>
  <c r="AB179" i="2"/>
  <c r="AC173" i="2" l="1"/>
  <c r="AB181" i="2"/>
  <c r="AC110" i="2" s="1"/>
  <c r="AC166" i="2" l="1"/>
  <c r="AD110" i="2"/>
  <c r="AC177" i="2"/>
  <c r="AC175" i="2"/>
  <c r="AC174" i="2"/>
  <c r="AC176" i="2"/>
  <c r="AC195" i="2" l="1"/>
  <c r="AC186" i="2"/>
  <c r="AC187" i="2" s="1"/>
  <c r="AC189" i="2" s="1"/>
  <c r="AC179" i="2"/>
  <c r="AC181" i="2" s="1"/>
  <c r="AD166" i="2" s="1"/>
  <c r="AD173" i="2" l="1"/>
  <c r="AD174" i="2"/>
  <c r="AD177" i="2"/>
  <c r="AD176" i="2"/>
  <c r="AD175" i="2"/>
  <c r="AD195" i="2" l="1"/>
  <c r="AD186" i="2"/>
  <c r="AD187" i="2" s="1"/>
  <c r="AD179" i="2"/>
  <c r="AD181" i="2" s="1"/>
  <c r="AE110" i="2" s="1"/>
  <c r="AE166" i="2" s="1"/>
  <c r="AE170" i="2" s="1"/>
  <c r="AD189" i="2" l="1"/>
  <c r="AE174" i="2"/>
  <c r="AE173" i="2"/>
  <c r="AE175" i="2"/>
  <c r="AE172" i="2"/>
  <c r="AE171" i="2"/>
  <c r="AE190" i="2"/>
  <c r="AE192" i="2" l="1"/>
  <c r="AE176" i="2" l="1"/>
  <c r="AF176" i="2"/>
  <c r="AE177" i="2"/>
  <c r="AN182" i="2"/>
  <c r="AO182" i="2" l="1"/>
  <c r="AP182" i="2" l="1"/>
  <c r="AQ182" i="2" l="1"/>
  <c r="BE184" i="2" l="1"/>
  <c r="BF184" i="2" l="1"/>
  <c r="BG184" i="2" l="1"/>
  <c r="BH184" i="2" l="1"/>
  <c r="BI184" i="2" l="1"/>
  <c r="BJ184" i="2" l="1"/>
  <c r="BK184" i="2" l="1"/>
  <c r="BL184" i="2" l="1"/>
  <c r="BM184" i="2" l="1"/>
  <c r="BN184" i="2" l="1"/>
  <c r="BR184" i="2" l="1"/>
  <c r="BS184" i="2" l="1"/>
  <c r="BT184" i="2" l="1"/>
  <c r="BU184" i="2" l="1"/>
  <c r="BV184" i="2" l="1"/>
  <c r="BW184" i="2" l="1"/>
  <c r="BX184" i="2" l="1"/>
  <c r="BY184" i="2" l="1"/>
  <c r="BZ184" i="2" l="1"/>
  <c r="CA184" i="2" l="1"/>
  <c r="CB184" i="2" l="1"/>
  <c r="CC184" i="2" l="1"/>
  <c r="BE187" i="2" l="1"/>
  <c r="BF173" i="2" s="1"/>
  <c r="BF187" i="2" l="1"/>
  <c r="BG173" i="2" s="1"/>
  <c r="BG187" i="2" l="1"/>
  <c r="BH173" i="2" s="1"/>
  <c r="BH187" i="2" l="1"/>
  <c r="BI173" i="2" s="1"/>
  <c r="BI187" i="2" l="1"/>
  <c r="BJ173" i="2" s="1"/>
  <c r="BJ187" i="2" l="1"/>
  <c r="BK173" i="2" s="1"/>
  <c r="BL187" i="2" l="1"/>
  <c r="BM173" i="2" s="1"/>
  <c r="BM187" i="2" l="1"/>
  <c r="BN173" i="2" s="1"/>
  <c r="BN187" i="2" l="1"/>
  <c r="BO173" i="2" s="1"/>
  <c r="BO187" i="2" l="1"/>
  <c r="BP173" i="2" s="1"/>
  <c r="BP187" i="2" l="1"/>
  <c r="BQ187" i="2" l="1"/>
  <c r="BR173" i="2" s="1"/>
  <c r="BR187" i="2" l="1"/>
  <c r="BS173" i="2" s="1"/>
  <c r="BS187" i="2" l="1"/>
  <c r="BT173" i="2" s="1"/>
  <c r="BT187" i="2" l="1"/>
  <c r="BU173" i="2" s="1"/>
  <c r="BU187" i="2" l="1"/>
  <c r="BV173" i="2" s="1"/>
  <c r="BV187" i="2" l="1"/>
  <c r="BW173" i="2" s="1"/>
  <c r="BW187" i="2" l="1"/>
  <c r="BX173" i="2" s="1"/>
  <c r="BX187" i="2" l="1"/>
  <c r="BY173" i="2" s="1"/>
  <c r="BY187" i="2" l="1"/>
  <c r="BZ173" i="2" s="1"/>
  <c r="BZ187" i="2" l="1"/>
  <c r="CA173" i="2" s="1"/>
  <c r="CA187" i="2" l="1"/>
  <c r="CB173" i="2" s="1"/>
  <c r="CB187" i="2" l="1"/>
  <c r="CC173" i="2" s="1"/>
  <c r="CD173" i="2" s="1"/>
  <c r="CC187" i="2" l="1"/>
  <c r="CD187" i="2" l="1"/>
  <c r="CE173" i="2" s="1"/>
  <c r="CE187" i="2" l="1"/>
  <c r="CF173" i="2" s="1"/>
  <c r="CF187" i="2" l="1"/>
  <c r="CG173" i="2" s="1"/>
  <c r="CG187" i="2" l="1"/>
  <c r="CH175" i="2" l="1"/>
  <c r="CH174" i="2"/>
  <c r="CH173" i="2"/>
  <c r="CH187" i="2"/>
  <c r="CI173" i="2" l="1"/>
  <c r="CI175" i="2"/>
  <c r="CI174" i="2"/>
  <c r="CI187" i="2"/>
  <c r="CJ173" i="2" l="1"/>
  <c r="CJ175" i="2"/>
  <c r="CJ174" i="2"/>
  <c r="CJ187" i="2"/>
  <c r="CK174" i="2" l="1"/>
  <c r="CK173" i="2"/>
  <c r="CK175" i="2"/>
  <c r="CK187" i="2"/>
  <c r="CL173" i="2" l="1"/>
  <c r="CL175" i="2"/>
  <c r="CL174" i="2"/>
  <c r="CL187" i="2"/>
  <c r="CM174" i="2" l="1"/>
  <c r="CM173" i="2"/>
  <c r="CM175" i="2"/>
  <c r="CM187" i="2"/>
  <c r="CN174" i="2" l="1"/>
  <c r="CN173" i="2"/>
  <c r="CN175" i="2"/>
  <c r="CN187" i="2"/>
  <c r="CO174" i="2" l="1"/>
  <c r="CO173" i="2"/>
  <c r="CO175" i="2"/>
  <c r="CO187" i="2"/>
  <c r="CP174" i="2" l="1"/>
  <c r="CP173" i="2"/>
  <c r="CQ173" i="2" s="1"/>
  <c r="CP175" i="2"/>
  <c r="CQ187" i="2"/>
  <c r="CP187" i="2"/>
  <c r="BK187" i="2" l="1"/>
  <c r="BL173" i="2" s="1"/>
  <c r="BQ173" i="2" s="1"/>
  <c r="CE184" i="2" l="1"/>
  <c r="CF184" i="2" l="1"/>
  <c r="CG184" i="2" l="1"/>
  <c r="CH184" i="2" l="1"/>
  <c r="CI184" i="2" l="1"/>
  <c r="CJ184" i="2" l="1"/>
  <c r="CK184" i="2" l="1"/>
  <c r="CL184" i="2" l="1"/>
  <c r="CM184" i="2" l="1"/>
  <c r="CN184" i="2" l="1"/>
  <c r="CO184" i="2" l="1"/>
  <c r="CP184" i="2" l="1"/>
  <c r="AE193" i="2" l="1"/>
  <c r="AE188" i="2"/>
  <c r="AE179" i="2"/>
  <c r="AE181" i="2" s="1"/>
  <c r="AF110" i="2" s="1"/>
  <c r="AF166" i="2" s="1"/>
  <c r="AE186" i="2"/>
  <c r="AE187" i="2" s="1"/>
  <c r="AF183" i="2" s="1"/>
  <c r="AF184" i="2" s="1"/>
  <c r="AF170" i="2" l="1"/>
  <c r="AF185" i="2"/>
  <c r="AF175" i="2"/>
  <c r="AF174" i="2"/>
  <c r="AE189" i="2"/>
  <c r="AF172" i="2" l="1"/>
  <c r="AF173" i="2"/>
  <c r="AF171" i="2"/>
  <c r="AF190" i="2"/>
  <c r="AF192" i="2" l="1"/>
  <c r="AF186" i="2"/>
  <c r="AF187" i="2" s="1"/>
  <c r="AF188" i="2"/>
  <c r="AG175" i="2" l="1"/>
  <c r="AF189" i="2"/>
  <c r="AG174" i="2"/>
  <c r="AG183" i="2"/>
  <c r="AG184" i="2" s="1"/>
  <c r="AF177" i="2"/>
  <c r="AG176" i="2"/>
  <c r="AG185" i="2" l="1"/>
  <c r="AF179" i="2"/>
  <c r="AF193" i="2"/>
  <c r="AF181" i="2" l="1"/>
  <c r="AG110" i="2" s="1"/>
  <c r="AG166" i="2" s="1"/>
  <c r="AG170" i="2" l="1"/>
  <c r="AG172" i="2" l="1"/>
  <c r="AG173" i="2"/>
  <c r="AG171" i="2"/>
  <c r="AG190" i="2"/>
  <c r="AG188" i="2" l="1"/>
  <c r="AG186" i="2"/>
  <c r="AG187" i="2" s="1"/>
  <c r="AG192" i="2"/>
  <c r="AH174" i="2" l="1"/>
  <c r="AH175" i="2"/>
  <c r="AG189" i="2"/>
  <c r="AH183" i="2"/>
  <c r="AH184" i="2" s="1"/>
  <c r="AG177" i="2"/>
  <c r="AH176" i="2"/>
  <c r="AG193" i="2" l="1"/>
  <c r="AG179" i="2"/>
  <c r="AH185" i="2"/>
  <c r="AG181" i="2" l="1"/>
  <c r="AH110" i="2" s="1"/>
  <c r="AH166" i="2" l="1"/>
  <c r="C5" i="3"/>
  <c r="AH170" i="2" l="1"/>
  <c r="AH172" i="2" l="1"/>
  <c r="AH173" i="2"/>
  <c r="AH171" i="2"/>
  <c r="AH190" i="2"/>
  <c r="AH192" i="2" l="1"/>
  <c r="AH186" i="2"/>
  <c r="AH187" i="2" s="1"/>
  <c r="AH188" i="2"/>
  <c r="AI174" i="2" l="1"/>
  <c r="AI175" i="2"/>
  <c r="AH189" i="2"/>
  <c r="AI183" i="2"/>
  <c r="AI184" i="2" s="1"/>
  <c r="AH177" i="2"/>
  <c r="AI176" i="2"/>
  <c r="AH179" i="2" l="1"/>
  <c r="AH193" i="2"/>
  <c r="AI185" i="2"/>
  <c r="AH181" i="2" l="1"/>
  <c r="AI110" i="2" s="1"/>
  <c r="D5" i="3" l="1"/>
  <c r="AI166" i="2"/>
  <c r="AI170" i="2" l="1"/>
  <c r="AI172" i="2" l="1"/>
  <c r="AI173" i="2"/>
  <c r="AI190" i="2"/>
  <c r="AI171" i="2"/>
  <c r="AI188" i="2" l="1"/>
  <c r="AI186" i="2"/>
  <c r="AI187" i="2" s="1"/>
  <c r="AI192" i="2"/>
  <c r="AJ176" i="2" l="1"/>
  <c r="AI177" i="2"/>
  <c r="AJ175" i="2"/>
  <c r="AJ183" i="2"/>
  <c r="AJ184" i="2" s="1"/>
  <c r="AJ174" i="2"/>
  <c r="AI189" i="2"/>
  <c r="AJ185" i="2" l="1"/>
  <c r="AI179" i="2"/>
  <c r="AI181" i="2" s="1"/>
  <c r="AJ110" i="2" s="1"/>
  <c r="AI193" i="2"/>
  <c r="E5" i="3" l="1"/>
  <c r="AJ166" i="2"/>
  <c r="AJ170" i="2" l="1"/>
  <c r="AJ172" i="2" l="1"/>
  <c r="AJ173" i="2"/>
  <c r="AJ171" i="2"/>
  <c r="AJ190" i="2"/>
  <c r="AJ186" i="2" l="1"/>
  <c r="AJ187" i="2" s="1"/>
  <c r="AJ188" i="2"/>
  <c r="AJ192" i="2"/>
  <c r="AJ177" i="2" l="1"/>
  <c r="AK176" i="2"/>
  <c r="AJ189" i="2"/>
  <c r="AK183" i="2"/>
  <c r="AK184" i="2" s="1"/>
  <c r="AK175" i="2"/>
  <c r="AK174" i="2"/>
  <c r="AK185" i="2" l="1"/>
  <c r="AJ179" i="2"/>
  <c r="AJ181" i="2" s="1"/>
  <c r="AK110" i="2" s="1"/>
  <c r="AJ193" i="2"/>
  <c r="F5" i="3" l="1"/>
  <c r="AK166" i="2"/>
  <c r="AK170" i="2" l="1"/>
  <c r="AK172" i="2" l="1"/>
  <c r="AK173" i="2"/>
  <c r="AK190" i="2"/>
  <c r="AK192" i="2" s="1"/>
  <c r="AK171" i="2"/>
  <c r="AK177" i="2" l="1"/>
  <c r="AK193" i="2" s="1"/>
  <c r="AL176" i="2"/>
  <c r="AK188" i="2"/>
  <c r="AK186" i="2"/>
  <c r="AK187" i="2" s="1"/>
  <c r="AL174" i="2" l="1"/>
  <c r="AK189" i="2"/>
  <c r="AL175" i="2"/>
  <c r="AL183" i="2"/>
  <c r="AL184" i="2" s="1"/>
  <c r="AK179" i="2"/>
  <c r="AK181" i="2" s="1"/>
  <c r="AL110" i="2" s="1"/>
  <c r="AL166" i="2" l="1"/>
  <c r="G5" i="3"/>
  <c r="AL185" i="2"/>
  <c r="AL170" i="2" l="1"/>
  <c r="AL172" i="2" l="1"/>
  <c r="AL173" i="2"/>
  <c r="AL190" i="2"/>
  <c r="AL192" i="2" s="1"/>
  <c r="AL171" i="2"/>
  <c r="AL188" i="2" l="1"/>
  <c r="AL186" i="2"/>
  <c r="AL187" i="2" s="1"/>
  <c r="AL177" i="2"/>
  <c r="AL179" i="2" s="1"/>
  <c r="AL181" i="2" s="1"/>
  <c r="AM110" i="2" s="1"/>
  <c r="AM176" i="2"/>
  <c r="AL193" i="2"/>
  <c r="H5" i="3" l="1"/>
  <c r="AM166" i="2"/>
  <c r="AM183" i="2"/>
  <c r="AM184" i="2" s="1"/>
  <c r="AM174" i="2"/>
  <c r="AM175" i="2"/>
  <c r="AL189" i="2"/>
  <c r="AM185" i="2" l="1"/>
  <c r="AM170" i="2"/>
  <c r="AM172" i="2" l="1"/>
  <c r="AM173" i="2"/>
  <c r="AM190" i="2"/>
  <c r="AM192" i="2" s="1"/>
  <c r="AM171" i="2"/>
  <c r="AM188" i="2" l="1"/>
  <c r="AM186" i="2"/>
  <c r="AM187" i="2" s="1"/>
  <c r="AM177" i="2"/>
  <c r="AM179" i="2" s="1"/>
  <c r="AM181" i="2" s="1"/>
  <c r="AN110" i="2" s="1"/>
  <c r="AN176" i="2"/>
  <c r="AM193" i="2" l="1"/>
  <c r="I5" i="3"/>
  <c r="AN166" i="2"/>
  <c r="AN175" i="2"/>
  <c r="AM189" i="2"/>
  <c r="AN174" i="2"/>
  <c r="AN183" i="2"/>
  <c r="AN184" i="2" s="1"/>
  <c r="AN170" i="2" l="1"/>
  <c r="AN185" i="2"/>
  <c r="AN172" i="2" l="1"/>
  <c r="AN173" i="2"/>
  <c r="AN171" i="2"/>
  <c r="AN190" i="2"/>
  <c r="AN192" i="2" s="1"/>
  <c r="AN188" i="2" l="1"/>
  <c r="AN186" i="2"/>
  <c r="AN187" i="2" s="1"/>
  <c r="AO176" i="2"/>
  <c r="AN177" i="2"/>
  <c r="AN179" i="2" s="1"/>
  <c r="AN181" i="2" s="1"/>
  <c r="AO110" i="2" s="1"/>
  <c r="AN193" i="2" l="1"/>
  <c r="AO166" i="2"/>
  <c r="J5" i="3"/>
  <c r="AO183" i="2"/>
  <c r="AO184" i="2" s="1"/>
  <c r="AN189" i="2"/>
  <c r="AO174" i="2"/>
  <c r="AO175" i="2"/>
  <c r="AO185" i="2" l="1"/>
  <c r="AO170" i="2"/>
  <c r="AO172" i="2" l="1"/>
  <c r="AO173" i="2"/>
  <c r="AO190" i="2"/>
  <c r="AO192" i="2" s="1"/>
  <c r="AO171" i="2"/>
  <c r="AO177" i="2" l="1"/>
  <c r="AO179" i="2" s="1"/>
  <c r="AO181" i="2" s="1"/>
  <c r="AP110" i="2" s="1"/>
  <c r="AP176" i="2"/>
  <c r="AQ176" i="2" s="1"/>
  <c r="AO186" i="2"/>
  <c r="AO187" i="2" s="1"/>
  <c r="AO188" i="2"/>
  <c r="AO193" i="2" l="1"/>
  <c r="AP174" i="2"/>
  <c r="AQ174" i="2" s="1"/>
  <c r="AP175" i="2"/>
  <c r="AQ175" i="2" s="1"/>
  <c r="AO189" i="2"/>
  <c r="AP183" i="2"/>
  <c r="AQ110" i="2"/>
  <c r="L5" i="3" s="1"/>
  <c r="K5" i="3"/>
  <c r="AP166" i="2"/>
  <c r="AP170" i="2" l="1"/>
  <c r="AQ166" i="2"/>
  <c r="AQ183" i="2"/>
  <c r="AP184" i="2"/>
  <c r="AP172" i="2" l="1"/>
  <c r="AQ172" i="2" s="1"/>
  <c r="AQ170" i="2"/>
  <c r="AP173" i="2"/>
  <c r="AQ173" i="2" s="1"/>
  <c r="AP185" i="2"/>
  <c r="AQ184" i="2"/>
  <c r="AP171" i="2"/>
  <c r="AQ171" i="2" s="1"/>
  <c r="AP190" i="2"/>
  <c r="AQ190" i="2" l="1"/>
  <c r="AP192" i="2"/>
  <c r="AP188" i="2"/>
  <c r="AP186" i="2"/>
  <c r="AQ186" i="2" s="1"/>
  <c r="AQ185" i="2"/>
  <c r="AP187" i="2" l="1"/>
  <c r="AP189" i="2" s="1"/>
  <c r="AQ188" i="2"/>
  <c r="AQ187" i="2"/>
  <c r="AR182" i="2"/>
  <c r="AP177" i="2"/>
  <c r="AQ177" i="2" s="1"/>
  <c r="AQ178" i="2" s="1"/>
  <c r="AQ192" i="2"/>
  <c r="AR176" i="2" l="1"/>
  <c r="AQ179" i="2"/>
  <c r="AP193" i="2"/>
  <c r="AQ193" i="2" s="1"/>
  <c r="AP179" i="2"/>
  <c r="AP181" i="2" s="1"/>
  <c r="AQ181" i="2" s="1"/>
  <c r="AR110" i="2" s="1"/>
  <c r="AS182" i="2"/>
  <c r="AR175" i="2"/>
  <c r="AQ189" i="2"/>
  <c r="AR174" i="2"/>
  <c r="AR183" i="2"/>
  <c r="AR184" i="2" s="1"/>
  <c r="AR185" i="2" s="1"/>
  <c r="AT182" i="2" l="1"/>
  <c r="AR166" i="2"/>
  <c r="M5" i="3"/>
  <c r="AR170" i="2" l="1"/>
  <c r="AR173" i="2" s="1"/>
  <c r="AU182" i="2"/>
  <c r="AR172" i="2" l="1"/>
  <c r="AV182" i="2"/>
  <c r="AR171" i="2"/>
  <c r="AR190" i="2"/>
  <c r="AR192" i="2" s="1"/>
  <c r="AR188" i="2" l="1"/>
  <c r="AR186" i="2"/>
  <c r="AR177" i="2"/>
  <c r="AR179" i="2" s="1"/>
  <c r="AR181" i="2" s="1"/>
  <c r="AS110" i="2" s="1"/>
  <c r="AS176" i="2"/>
  <c r="AW182" i="2"/>
  <c r="AS166" i="2" l="1"/>
  <c r="N5" i="3"/>
  <c r="AR187" i="2"/>
  <c r="AX182" i="2"/>
  <c r="AR193" i="2"/>
  <c r="AY182" i="2" l="1"/>
  <c r="AS174" i="2"/>
  <c r="AR189" i="2"/>
  <c r="AS175" i="2"/>
  <c r="AS183" i="2"/>
  <c r="AS184" i="2" s="1"/>
  <c r="AS170" i="2"/>
  <c r="AS173" i="2" s="1"/>
  <c r="AS172" i="2" l="1"/>
  <c r="AS185" i="2"/>
  <c r="AS190" i="2"/>
  <c r="AS192" i="2" s="1"/>
  <c r="AS171" i="2"/>
  <c r="AS188" i="2" l="1"/>
  <c r="AS186" i="2"/>
  <c r="AS187" i="2" s="1"/>
  <c r="AS177" i="2"/>
  <c r="AT176" i="2"/>
  <c r="AS193" i="2" l="1"/>
  <c r="AT183" i="2"/>
  <c r="AT184" i="2" s="1"/>
  <c r="AS189" i="2"/>
  <c r="AT174" i="2"/>
  <c r="AT175" i="2"/>
  <c r="AS179" i="2"/>
  <c r="AS181" i="2" s="1"/>
  <c r="AT110" i="2" s="1"/>
  <c r="AT166" i="2" l="1"/>
  <c r="O5" i="3"/>
  <c r="AT185" i="2"/>
  <c r="AT170" i="2" l="1"/>
  <c r="AT173" i="2" s="1"/>
  <c r="AT172" i="2" l="1"/>
  <c r="AT190" i="2"/>
  <c r="AT192" i="2" s="1"/>
  <c r="AT171" i="2"/>
  <c r="AT188" i="2" l="1"/>
  <c r="AT186" i="2"/>
  <c r="AU176" i="2"/>
  <c r="AT177" i="2"/>
  <c r="AT187" i="2" l="1"/>
  <c r="AT193" i="2"/>
  <c r="AT179" i="2"/>
  <c r="AT181" i="2" s="1"/>
  <c r="AU110" i="2" s="1"/>
  <c r="P5" i="3" l="1"/>
  <c r="AU166" i="2"/>
  <c r="AT189" i="2"/>
  <c r="AU175" i="2"/>
  <c r="AU183" i="2"/>
  <c r="AU184" i="2" s="1"/>
  <c r="AU174" i="2"/>
  <c r="AU185" i="2" l="1"/>
  <c r="AU170" i="2"/>
  <c r="AU173" i="2" s="1"/>
  <c r="AU172" i="2" l="1"/>
  <c r="AU171" i="2"/>
  <c r="AU190" i="2"/>
  <c r="AU192" i="2" s="1"/>
  <c r="AV176" i="2" l="1"/>
  <c r="AU177" i="2"/>
  <c r="AU179" i="2" s="1"/>
  <c r="AU181" i="2" s="1"/>
  <c r="AV110" i="2" s="1"/>
  <c r="AU188" i="2"/>
  <c r="AU186" i="2"/>
  <c r="AU193" i="2" l="1"/>
  <c r="Q5" i="3"/>
  <c r="AV166" i="2"/>
  <c r="AU187" i="2"/>
  <c r="AU189" i="2" l="1"/>
  <c r="AV183" i="2"/>
  <c r="AV184" i="2" s="1"/>
  <c r="AV175" i="2"/>
  <c r="AV174" i="2"/>
  <c r="AV170" i="2"/>
  <c r="AV173" i="2" s="1"/>
  <c r="AV172" i="2" l="1"/>
  <c r="AV171" i="2"/>
  <c r="AV190" i="2"/>
  <c r="AV192" i="2" s="1"/>
  <c r="AV185" i="2"/>
  <c r="AW176" i="2" l="1"/>
  <c r="AV177" i="2"/>
  <c r="AV193" i="2" s="1"/>
  <c r="AV188" i="2"/>
  <c r="AV186" i="2"/>
  <c r="AV179" i="2"/>
  <c r="AV181" i="2" s="1"/>
  <c r="AW110" i="2" s="1"/>
  <c r="AW166" i="2" l="1"/>
  <c r="R5" i="3"/>
  <c r="AV187" i="2"/>
  <c r="AV189" i="2" l="1"/>
  <c r="AW183" i="2"/>
  <c r="AW184" i="2" s="1"/>
  <c r="AW175" i="2"/>
  <c r="AW174" i="2"/>
  <c r="AW170" i="2"/>
  <c r="AW172" i="2" s="1"/>
  <c r="AW173" i="2" l="1"/>
  <c r="AW190" i="2"/>
  <c r="AW192" i="2" s="1"/>
  <c r="AW171" i="2"/>
  <c r="AW185" i="2"/>
  <c r="AW188" i="2" l="1"/>
  <c r="AW186" i="2"/>
  <c r="AW177" i="2"/>
  <c r="AW179" i="2" s="1"/>
  <c r="AW181" i="2" s="1"/>
  <c r="AX110" i="2" s="1"/>
  <c r="AX176" i="2"/>
  <c r="AW193" i="2"/>
  <c r="S5" i="3" l="1"/>
  <c r="AX166" i="2"/>
  <c r="AW187" i="2"/>
  <c r="AW189" i="2" l="1"/>
  <c r="AX175" i="2"/>
  <c r="AX174" i="2"/>
  <c r="AX183" i="2"/>
  <c r="AX184" i="2" s="1"/>
  <c r="AX170" i="2"/>
  <c r="AX172" i="2" s="1"/>
  <c r="AX173" i="2" l="1"/>
  <c r="AX171" i="2"/>
  <c r="AX190" i="2"/>
  <c r="AX192" i="2" s="1"/>
  <c r="AX185" i="2"/>
  <c r="AX177" i="2" l="1"/>
  <c r="AX193" i="2" s="1"/>
  <c r="AY176" i="2"/>
  <c r="AX188" i="2"/>
  <c r="AX186" i="2"/>
  <c r="AX179" i="2" l="1"/>
  <c r="AX181" i="2" s="1"/>
  <c r="AY110" i="2" s="1"/>
  <c r="T5" i="3" s="1"/>
  <c r="AX187" i="2"/>
  <c r="AY166" i="2" l="1"/>
  <c r="AY170" i="2" s="1"/>
  <c r="AY173" i="2" s="1"/>
  <c r="AY183" i="2"/>
  <c r="AY184" i="2" s="1"/>
  <c r="AY185" i="2" s="1"/>
  <c r="AY174" i="2"/>
  <c r="AY175" i="2"/>
  <c r="AX189" i="2"/>
  <c r="AY172" i="2" l="1"/>
  <c r="AY191" i="2"/>
  <c r="AY192" i="2" s="1"/>
  <c r="AY171" i="2"/>
  <c r="AY177" i="2" l="1"/>
  <c r="AY193" i="2" s="1"/>
  <c r="AZ176" i="2"/>
  <c r="AY188" i="2"/>
  <c r="AY186" i="2"/>
  <c r="AY187" i="2" s="1"/>
  <c r="AZ173" i="2" s="1"/>
  <c r="AY179" i="2" l="1"/>
  <c r="AY181" i="2" s="1"/>
  <c r="AZ110" i="2" s="1"/>
  <c r="U5" i="3" s="1"/>
  <c r="AZ172" i="2"/>
  <c r="BD172" i="2" s="1"/>
  <c r="BD173" i="2"/>
  <c r="AY189" i="2"/>
  <c r="AZ166" i="2" l="1"/>
  <c r="AZ170" i="2" s="1"/>
  <c r="AZ171" i="2" l="1"/>
  <c r="AZ191" i="2"/>
  <c r="AZ175" i="2"/>
  <c r="AZ174" i="2"/>
  <c r="BA189" i="2" l="1"/>
  <c r="AZ189" i="2"/>
  <c r="BB189" i="2"/>
  <c r="BC189" i="2"/>
  <c r="BD189" i="2"/>
  <c r="AZ192" i="2"/>
  <c r="AZ188" i="2"/>
  <c r="AZ177" i="2" l="1"/>
  <c r="BA176" i="2"/>
  <c r="AZ193" i="2" l="1"/>
  <c r="AZ179" i="2"/>
  <c r="AZ181" i="2" s="1"/>
  <c r="BA110" i="2" s="1"/>
  <c r="BA166" i="2" l="1"/>
  <c r="V5" i="3"/>
  <c r="BA170" i="2" l="1"/>
  <c r="BA171" i="2" l="1"/>
  <c r="BA191" i="2"/>
  <c r="BA174" i="2"/>
  <c r="BA175" i="2"/>
  <c r="BA192" i="2" l="1"/>
  <c r="BA188" i="2"/>
  <c r="BB176" i="2" l="1"/>
  <c r="BA177" i="2"/>
  <c r="BA193" i="2" l="1"/>
  <c r="BA179" i="2"/>
  <c r="BA181" i="2" s="1"/>
  <c r="BB110" i="2" s="1"/>
  <c r="W5" i="3" l="1"/>
  <c r="BB166" i="2"/>
  <c r="BB170" i="2" l="1"/>
  <c r="BB191" i="2" l="1"/>
  <c r="BB171" i="2"/>
  <c r="BB175" i="2"/>
  <c r="BB174" i="2"/>
  <c r="BB192" i="2" l="1"/>
  <c r="BB188" i="2"/>
  <c r="BB177" i="2" l="1"/>
  <c r="BC176" i="2"/>
  <c r="BD176" i="2" s="1"/>
  <c r="BB179" i="2" l="1"/>
  <c r="BB181" i="2" s="1"/>
  <c r="BC110" i="2" s="1"/>
  <c r="BB193" i="2"/>
  <c r="BC166" i="2" l="1"/>
  <c r="BD110" i="2"/>
  <c r="Y5" i="3" s="1"/>
  <c r="X5" i="3"/>
  <c r="BD166" i="2" l="1"/>
  <c r="BC170" i="2"/>
  <c r="BD170" i="2" s="1"/>
  <c r="BC171" i="2" l="1"/>
  <c r="BC191" i="2"/>
  <c r="BC175" i="2"/>
  <c r="BD175" i="2" s="1"/>
  <c r="BC174" i="2"/>
  <c r="BD174" i="2" s="1"/>
  <c r="BD171" i="2" l="1"/>
  <c r="BC188" i="2"/>
  <c r="BD188" i="2" s="1"/>
  <c r="BD191" i="2"/>
  <c r="BC192" i="2"/>
  <c r="BC177" i="2" l="1"/>
  <c r="BD192" i="2"/>
  <c r="BD177" i="2" l="1"/>
  <c r="BD178" i="2" s="1"/>
  <c r="BE176" i="2"/>
  <c r="BC193" i="2"/>
  <c r="BD193" i="2" s="1"/>
  <c r="BC179" i="2"/>
  <c r="BC181" i="2" s="1"/>
  <c r="BD181" i="2" s="1"/>
  <c r="BE110" i="2" s="1"/>
  <c r="BD179" i="2" l="1"/>
  <c r="BE166" i="2"/>
  <c r="Z5" i="3"/>
  <c r="BE170" i="2" l="1"/>
  <c r="BE171" i="2" l="1"/>
  <c r="BE191" i="2"/>
  <c r="BE172" i="2"/>
  <c r="BE174" i="2"/>
  <c r="BE175" i="2"/>
  <c r="BE192" i="2" l="1"/>
  <c r="BE190" i="2"/>
  <c r="BE188" i="2"/>
  <c r="BE189" i="2" l="1"/>
  <c r="BE177" i="2"/>
  <c r="BF176" i="2"/>
  <c r="BE178" i="2" l="1"/>
  <c r="BE193" i="2"/>
  <c r="BE179" i="2"/>
  <c r="BE181" i="2" s="1"/>
  <c r="BF110" i="2" s="1"/>
  <c r="AA5" i="3" l="1"/>
  <c r="BF166" i="2"/>
  <c r="BF170" i="2" l="1"/>
  <c r="BF172" i="2" l="1"/>
  <c r="BF171" i="2"/>
  <c r="BF191" i="2"/>
  <c r="BF174" i="2"/>
  <c r="BF175" i="2"/>
  <c r="BF192" i="2" l="1"/>
  <c r="BF190" i="2"/>
  <c r="BF188" i="2"/>
  <c r="BF189" i="2" l="1"/>
  <c r="BG176" i="2"/>
  <c r="BF177" i="2"/>
  <c r="BF178" i="2" l="1"/>
  <c r="BF193" i="2"/>
  <c r="BF179" i="2"/>
  <c r="BF181" i="2" s="1"/>
  <c r="BG110" i="2" s="1"/>
  <c r="AB5" i="3" l="1"/>
  <c r="BG166" i="2"/>
  <c r="BG170" i="2" l="1"/>
  <c r="BG172" i="2" l="1"/>
  <c r="BG191" i="2"/>
  <c r="BG171" i="2"/>
  <c r="BG174" i="2"/>
  <c r="BG175" i="2"/>
  <c r="BG192" i="2" l="1"/>
  <c r="BG188" i="2"/>
  <c r="BG190" i="2"/>
  <c r="BG189" i="2" l="1"/>
  <c r="BH176" i="2"/>
  <c r="BG177" i="2"/>
  <c r="BG178" i="2" l="1"/>
  <c r="BG179" i="2"/>
  <c r="BG181" i="2" s="1"/>
  <c r="BH110" i="2" s="1"/>
  <c r="BG193" i="2"/>
  <c r="AC5" i="3" l="1"/>
  <c r="BH166" i="2"/>
  <c r="BH170" i="2" l="1"/>
  <c r="BH171" i="2" l="1"/>
  <c r="BH191" i="2"/>
  <c r="BH172" i="2"/>
  <c r="BH174" i="2"/>
  <c r="BH175" i="2"/>
  <c r="BH188" i="2" l="1"/>
  <c r="BH190" i="2"/>
  <c r="BH192" i="2"/>
  <c r="BH189" i="2" l="1"/>
  <c r="BI176" i="2"/>
  <c r="BH177" i="2"/>
  <c r="BH178" i="2" l="1"/>
  <c r="BH193" i="2"/>
  <c r="BH179" i="2"/>
  <c r="BH181" i="2" s="1"/>
  <c r="BI110" i="2" s="1"/>
  <c r="AD5" i="3" l="1"/>
  <c r="BI166" i="2"/>
  <c r="BI170" i="2" l="1"/>
  <c r="BI172" i="2" l="1"/>
  <c r="BI171" i="2"/>
  <c r="BI191" i="2"/>
  <c r="BI175" i="2"/>
  <c r="BI174" i="2"/>
  <c r="BI192" i="2" l="1"/>
  <c r="BI190" i="2"/>
  <c r="BI188" i="2"/>
  <c r="BI189" i="2" l="1"/>
  <c r="BJ176" i="2"/>
  <c r="BI177" i="2"/>
  <c r="BI178" i="2" l="1"/>
  <c r="BI193" i="2"/>
  <c r="BI179" i="2"/>
  <c r="BI181" i="2" s="1"/>
  <c r="BJ110" i="2" s="1"/>
  <c r="BJ166" i="2" l="1"/>
  <c r="AE5" i="3"/>
  <c r="BJ170" i="2" l="1"/>
  <c r="BJ191" i="2" l="1"/>
  <c r="BJ192" i="2" s="1"/>
  <c r="BJ172" i="2"/>
  <c r="BJ171" i="2"/>
  <c r="BJ175" i="2"/>
  <c r="BJ174" i="2"/>
  <c r="BJ190" i="2" l="1"/>
  <c r="BJ189" i="2" s="1"/>
  <c r="BJ188" i="2"/>
  <c r="BJ177" i="2"/>
  <c r="BJ193" i="2" s="1"/>
  <c r="BK176" i="2"/>
  <c r="BJ178" i="2" l="1"/>
  <c r="BJ179" i="2"/>
  <c r="BJ181" i="2" s="1"/>
  <c r="BK110" i="2" s="1"/>
  <c r="AF5" i="3" l="1"/>
  <c r="BK166" i="2"/>
  <c r="BK170" i="2" l="1"/>
  <c r="BK191" i="2" l="1"/>
  <c r="BK192" i="2" s="1"/>
  <c r="BK172" i="2"/>
  <c r="BK171" i="2"/>
  <c r="BK174" i="2"/>
  <c r="BK175" i="2"/>
  <c r="BK190" i="2" l="1"/>
  <c r="BK189" i="2" s="1"/>
  <c r="BK188" i="2"/>
  <c r="BK177" i="2"/>
  <c r="BK193" i="2" s="1"/>
  <c r="BL176" i="2"/>
  <c r="BK178" i="2" l="1"/>
  <c r="BK179" i="2"/>
  <c r="BK181" i="2" s="1"/>
  <c r="BL110" i="2" s="1"/>
  <c r="AG5" i="3" s="1"/>
  <c r="BL166" i="2" l="1"/>
  <c r="BL170" i="2" s="1"/>
  <c r="BL191" i="2" l="1"/>
  <c r="BL192" i="2" s="1"/>
  <c r="BL171" i="2"/>
  <c r="BL172" i="2"/>
  <c r="BL174" i="2"/>
  <c r="BL175" i="2"/>
  <c r="BL190" i="2" l="1"/>
  <c r="BL189" i="2" s="1"/>
  <c r="BL188" i="2"/>
  <c r="BM176" i="2"/>
  <c r="BL177" i="2"/>
  <c r="BL179" i="2" s="1"/>
  <c r="BL181" i="2" s="1"/>
  <c r="BM110" i="2" s="1"/>
  <c r="BL178" i="2" l="1"/>
  <c r="BM166" i="2"/>
  <c r="AH5" i="3"/>
  <c r="BL193" i="2"/>
  <c r="BM170" i="2" l="1"/>
  <c r="BM171" i="2" l="1"/>
  <c r="BM191" i="2"/>
  <c r="BM192" i="2" s="1"/>
  <c r="BM172" i="2"/>
  <c r="BM175" i="2"/>
  <c r="BM174" i="2"/>
  <c r="BM188" i="2" l="1"/>
  <c r="BM190" i="2"/>
  <c r="BM189" i="2" s="1"/>
  <c r="BM177" i="2"/>
  <c r="BM193" i="2" s="1"/>
  <c r="BN176" i="2"/>
  <c r="BM179" i="2"/>
  <c r="BM181" i="2" s="1"/>
  <c r="BN110" i="2" s="1"/>
  <c r="BM178" i="2" l="1"/>
  <c r="BN166" i="2"/>
  <c r="AI5" i="3"/>
  <c r="BN170" i="2" l="1"/>
  <c r="BN172" i="2" l="1"/>
  <c r="BN191" i="2"/>
  <c r="BN171" i="2"/>
  <c r="BN175" i="2"/>
  <c r="BN174" i="2"/>
  <c r="BN190" i="2" l="1"/>
  <c r="BN189" i="2" s="1"/>
  <c r="BN188" i="2"/>
  <c r="BN192" i="2"/>
  <c r="BO177" i="2" l="1"/>
  <c r="BN177" i="2"/>
  <c r="BN178" i="2" s="1"/>
  <c r="BO176" i="2"/>
  <c r="BN179" i="2" l="1"/>
  <c r="BN181" i="2" s="1"/>
  <c r="BO110" i="2" s="1"/>
  <c r="BN193" i="2"/>
  <c r="BO166" i="2" l="1"/>
  <c r="AJ5" i="3"/>
  <c r="BO170" i="2" l="1"/>
  <c r="BO191" i="2" s="1"/>
  <c r="BO192" i="2" l="1"/>
  <c r="BO171" i="2"/>
  <c r="BO172" i="2"/>
  <c r="BO174" i="2"/>
  <c r="BO175" i="2"/>
  <c r="BO178" i="2" l="1"/>
  <c r="BP177" i="2"/>
  <c r="BQ177" i="2" s="1"/>
  <c r="BO193" i="2"/>
  <c r="BO190" i="2"/>
  <c r="BO189" i="2" s="1"/>
  <c r="BO188" i="2"/>
  <c r="BO179" i="2"/>
  <c r="BO181" i="2" s="1"/>
  <c r="BP110" i="2" s="1"/>
  <c r="BP166" i="2" l="1"/>
  <c r="AK5" i="3"/>
  <c r="BQ110" i="2"/>
  <c r="AL5" i="3" s="1"/>
  <c r="BP170" i="2" l="1"/>
  <c r="BQ166" i="2"/>
  <c r="BP191" i="2" l="1"/>
  <c r="BQ170" i="2"/>
  <c r="BP174" i="2"/>
  <c r="BQ174" i="2" s="1"/>
  <c r="BP175" i="2"/>
  <c r="BQ175" i="2" s="1"/>
  <c r="BP171" i="2"/>
  <c r="BP176" i="2"/>
  <c r="BQ176" i="2" s="1"/>
  <c r="BP172" i="2"/>
  <c r="BQ172" i="2" s="1"/>
  <c r="BP178" i="2" l="1"/>
  <c r="BQ171" i="2"/>
  <c r="BQ179" i="2" s="1"/>
  <c r="BQ191" i="2"/>
  <c r="BP192" i="2"/>
  <c r="BQ192" i="2" s="1"/>
  <c r="BP190" i="2"/>
  <c r="BP188" i="2"/>
  <c r="BQ188" i="2" s="1"/>
  <c r="BP193" i="2"/>
  <c r="BQ193" i="2" s="1"/>
  <c r="BP179" i="2"/>
  <c r="BP181" i="2" s="1"/>
  <c r="BQ181" i="2" s="1"/>
  <c r="BR110" i="2" s="1"/>
  <c r="BU189" i="2" l="1"/>
  <c r="BY189" i="2"/>
  <c r="CC189" i="2"/>
  <c r="BX189" i="2"/>
  <c r="CB189" i="2"/>
  <c r="BZ189" i="2"/>
  <c r="BV189" i="2"/>
  <c r="CA189" i="2"/>
  <c r="BP189" i="2"/>
  <c r="BS189" i="2"/>
  <c r="BQ189" i="2"/>
  <c r="BW189" i="2"/>
  <c r="BR189" i="2"/>
  <c r="BT189" i="2"/>
  <c r="CD189" i="2"/>
  <c r="CQ189" i="2"/>
  <c r="CF189" i="2"/>
  <c r="CM189" i="2"/>
  <c r="CO189" i="2"/>
  <c r="CH189" i="2"/>
  <c r="CP189" i="2"/>
  <c r="CN189" i="2"/>
  <c r="CG189" i="2"/>
  <c r="CE189" i="2"/>
  <c r="CL189" i="2"/>
  <c r="CI189" i="2"/>
  <c r="CJ189" i="2"/>
  <c r="CK189" i="2"/>
  <c r="AM5" i="3"/>
  <c r="BR166" i="2"/>
  <c r="BR170" i="2" l="1"/>
  <c r="BR191" i="2" l="1"/>
  <c r="BR174" i="2"/>
  <c r="BR175" i="2"/>
  <c r="BR172" i="2"/>
  <c r="BR171" i="2"/>
  <c r="BR176" i="2"/>
  <c r="BR192" i="2" l="1"/>
  <c r="BR188" i="2"/>
  <c r="BR177" i="2" l="1"/>
  <c r="BR178" i="2" l="1"/>
  <c r="BR179" i="2"/>
  <c r="BR181" i="2" s="1"/>
  <c r="BS110" i="2" s="1"/>
  <c r="BR193" i="2"/>
  <c r="AN5" i="3" l="1"/>
  <c r="BS166" i="2"/>
  <c r="BS170" i="2" s="1"/>
  <c r="BS175" i="2" s="1"/>
  <c r="BS177" i="2"/>
  <c r="BS176" i="2"/>
  <c r="BS172" i="2" l="1"/>
  <c r="BS171" i="2"/>
  <c r="BS174" i="2"/>
  <c r="BS191" i="2"/>
  <c r="BS193" i="2"/>
  <c r="BS188" i="2" l="1"/>
  <c r="BS179" i="2"/>
  <c r="BS181" i="2" s="1"/>
  <c r="BT110" i="2" s="1"/>
  <c r="BT166" i="2" s="1"/>
  <c r="BS178" i="2"/>
  <c r="BS192" i="2"/>
  <c r="AO5" i="3"/>
  <c r="BT170" i="2" l="1"/>
  <c r="BT191" i="2" l="1"/>
  <c r="BT177" i="2"/>
  <c r="BT175" i="2"/>
  <c r="BT174" i="2"/>
  <c r="BT172" i="2"/>
  <c r="BT176" i="2"/>
  <c r="BT171" i="2"/>
  <c r="BT178" i="2" l="1"/>
  <c r="BT192" i="2"/>
  <c r="BT179" i="2"/>
  <c r="BT181" i="2" s="1"/>
  <c r="BU110" i="2" s="1"/>
  <c r="BT193" i="2"/>
  <c r="BT188" i="2"/>
  <c r="BU166" i="2" l="1"/>
  <c r="AP5" i="3"/>
  <c r="BU170" i="2" l="1"/>
  <c r="BU191" i="2" l="1"/>
  <c r="BU177" i="2"/>
  <c r="BU175" i="2"/>
  <c r="BU174" i="2"/>
  <c r="BU172" i="2"/>
  <c r="BU176" i="2"/>
  <c r="BU171" i="2"/>
  <c r="BU178" i="2" l="1"/>
  <c r="BU192" i="2"/>
  <c r="BU179" i="2"/>
  <c r="BU181" i="2" s="1"/>
  <c r="BV110" i="2" s="1"/>
  <c r="BU188" i="2"/>
  <c r="BU193" i="2"/>
  <c r="BV166" i="2" l="1"/>
  <c r="AQ5" i="3"/>
  <c r="BV170" i="2" l="1"/>
  <c r="BV177" i="2" l="1"/>
  <c r="BV191" i="2"/>
  <c r="BV175" i="2"/>
  <c r="BV174" i="2"/>
  <c r="BV171" i="2"/>
  <c r="BV176" i="2"/>
  <c r="BV172" i="2"/>
  <c r="BV178" i="2" l="1"/>
  <c r="BV192" i="2"/>
  <c r="BV193" i="2"/>
  <c r="BV188" i="2"/>
  <c r="BV179" i="2"/>
  <c r="BV181" i="2" s="1"/>
  <c r="BW110" i="2" s="1"/>
  <c r="AR5" i="3" l="1"/>
  <c r="BW166" i="2"/>
  <c r="BW170" i="2" l="1"/>
  <c r="BW177" i="2" l="1"/>
  <c r="BW191" i="2"/>
  <c r="BW192" i="2" s="1"/>
  <c r="BW175" i="2"/>
  <c r="BW174" i="2"/>
  <c r="BW176" i="2"/>
  <c r="BW172" i="2"/>
  <c r="BW171" i="2"/>
  <c r="BW193" i="2" l="1"/>
  <c r="BW178" i="2"/>
  <c r="BW179" i="2"/>
  <c r="BW181" i="2" s="1"/>
  <c r="BX110" i="2" s="1"/>
  <c r="AS5" i="3" s="1"/>
  <c r="BW188" i="2"/>
  <c r="BX166" i="2" l="1"/>
  <c r="BX170" i="2" s="1"/>
  <c r="BX177" i="2" l="1"/>
  <c r="BX191" i="2"/>
  <c r="BX192" i="2" s="1"/>
  <c r="BX174" i="2"/>
  <c r="BX175" i="2"/>
  <c r="BX172" i="2"/>
  <c r="BX171" i="2"/>
  <c r="BX176" i="2"/>
  <c r="BX178" i="2" l="1"/>
  <c r="BX193" i="2"/>
  <c r="BX179" i="2"/>
  <c r="BX181" i="2" s="1"/>
  <c r="BY110" i="2" s="1"/>
  <c r="BX188" i="2"/>
  <c r="BY166" i="2" l="1"/>
  <c r="AT5" i="3"/>
  <c r="BY170" i="2" l="1"/>
  <c r="BY191" i="2" s="1"/>
  <c r="BY192" i="2" s="1"/>
  <c r="BY177" i="2" l="1"/>
  <c r="BY174" i="2"/>
  <c r="BY175" i="2"/>
  <c r="BY172" i="2"/>
  <c r="BY176" i="2"/>
  <c r="BY171" i="2"/>
  <c r="BY193" i="2" l="1"/>
  <c r="BY178" i="2"/>
  <c r="BY179" i="2"/>
  <c r="BY181" i="2" s="1"/>
  <c r="BZ110" i="2" s="1"/>
  <c r="BY188" i="2"/>
  <c r="AU5" i="3" l="1"/>
  <c r="BZ166" i="2"/>
  <c r="BZ170" i="2" l="1"/>
  <c r="BZ177" i="2" l="1"/>
  <c r="BZ191" i="2"/>
  <c r="BZ192" i="2" s="1"/>
  <c r="BZ175" i="2"/>
  <c r="BZ174" i="2"/>
  <c r="BZ171" i="2"/>
  <c r="BZ172" i="2"/>
  <c r="BZ176" i="2"/>
  <c r="BZ178" i="2" l="1"/>
  <c r="BZ193" i="2"/>
  <c r="BZ188" i="2"/>
  <c r="BZ179" i="2"/>
  <c r="BZ181" i="2" s="1"/>
  <c r="CA110" i="2" s="1"/>
  <c r="AV5" i="3" l="1"/>
  <c r="CA166" i="2"/>
  <c r="CA170" i="2" l="1"/>
  <c r="CA177" i="2" l="1"/>
  <c r="CA191" i="2"/>
  <c r="CA192" i="2" s="1"/>
  <c r="CA175" i="2"/>
  <c r="CA174" i="2"/>
  <c r="CA176" i="2"/>
  <c r="CA172" i="2"/>
  <c r="CA171" i="2"/>
  <c r="CA188" i="2" l="1"/>
  <c r="CA178" i="2"/>
  <c r="CA179" i="2"/>
  <c r="CA181" i="2" s="1"/>
  <c r="CB110" i="2" s="1"/>
  <c r="CB166" i="2" s="1"/>
  <c r="AW5" i="3"/>
  <c r="CA193" i="2"/>
  <c r="CB170" i="2" l="1"/>
  <c r="CB177" i="2" l="1"/>
  <c r="CB191" i="2"/>
  <c r="CB192" i="2" s="1"/>
  <c r="CB175" i="2"/>
  <c r="CB174" i="2"/>
  <c r="CB171" i="2"/>
  <c r="CB176" i="2"/>
  <c r="CB172" i="2"/>
  <c r="CB178" i="2" l="1"/>
  <c r="CB188" i="2"/>
  <c r="CB179" i="2"/>
  <c r="CB181" i="2" s="1"/>
  <c r="CC110" i="2" s="1"/>
  <c r="CB193" i="2"/>
  <c r="CD110" i="2" l="1"/>
  <c r="AX5" i="3"/>
  <c r="CC166" i="2"/>
  <c r="CC170" i="2" l="1"/>
  <c r="CD170" i="2" s="1"/>
  <c r="CD166" i="2"/>
  <c r="AY5" i="3"/>
  <c r="CC177" i="2" l="1"/>
  <c r="CD177" i="2" s="1"/>
  <c r="CC191" i="2"/>
  <c r="CC174" i="2"/>
  <c r="CD174" i="2" s="1"/>
  <c r="CC175" i="2"/>
  <c r="CD175" i="2" s="1"/>
  <c r="CC176" i="2"/>
  <c r="CD176" i="2" s="1"/>
  <c r="CC171" i="2"/>
  <c r="CC172" i="2"/>
  <c r="CD172" i="2" s="1"/>
  <c r="CC178" i="2" l="1"/>
  <c r="CD171" i="2"/>
  <c r="CC192" i="2"/>
  <c r="CD192" i="2" s="1"/>
  <c r="CD191" i="2"/>
  <c r="CC179" i="2"/>
  <c r="CC181" i="2" s="1"/>
  <c r="CD181" i="2" s="1"/>
  <c r="CE110" i="2" s="1"/>
  <c r="CC188" i="2"/>
  <c r="CD188" i="2" s="1"/>
  <c r="CC193" i="2"/>
  <c r="CD193" i="2" s="1"/>
  <c r="CD179" i="2" l="1"/>
  <c r="CE166" i="2"/>
  <c r="AZ5" i="3"/>
  <c r="CE170" i="2" l="1"/>
  <c r="CE191" i="2" l="1"/>
  <c r="CE192" i="2" s="1"/>
  <c r="CE177" i="2" s="1"/>
  <c r="CE175" i="2"/>
  <c r="CE174" i="2"/>
  <c r="CE172" i="2"/>
  <c r="CE176" i="2"/>
  <c r="CE171" i="2"/>
  <c r="CE193" i="2" l="1"/>
  <c r="CE179" i="2"/>
  <c r="CE181" i="2" s="1"/>
  <c r="CF110" i="2" s="1"/>
  <c r="CE188" i="2"/>
  <c r="BA5" i="3" l="1"/>
  <c r="CF166" i="2"/>
  <c r="CF170" i="2" l="1"/>
  <c r="CF176" i="2" l="1"/>
  <c r="CF177" i="2"/>
  <c r="CF191" i="2"/>
  <c r="CF192" i="2" s="1"/>
  <c r="CF174" i="2"/>
  <c r="CF175" i="2"/>
  <c r="CF172" i="2"/>
  <c r="CF171" i="2"/>
  <c r="CF193" i="2" l="1"/>
  <c r="CF179" i="2"/>
  <c r="CF181" i="2" s="1"/>
  <c r="CG110" i="2" s="1"/>
  <c r="CF188" i="2"/>
  <c r="BB5" i="3" l="1"/>
  <c r="CG166" i="2"/>
  <c r="CG170" i="2" l="1"/>
  <c r="CG174" i="2" l="1"/>
  <c r="CQ174" i="2" s="1"/>
  <c r="C174" i="2" s="1"/>
  <c r="CG175" i="2"/>
  <c r="CQ175" i="2" s="1"/>
  <c r="C175" i="2" s="1"/>
  <c r="CG177" i="2"/>
  <c r="CG176" i="2"/>
  <c r="CG172" i="2"/>
  <c r="CG171" i="2"/>
  <c r="CG179" i="2" l="1"/>
  <c r="CG181" i="2" s="1"/>
  <c r="CH110" i="2" s="1"/>
  <c r="CG193" i="2"/>
  <c r="CG188" i="2"/>
  <c r="CH166" i="2" l="1"/>
  <c r="BC5" i="3"/>
  <c r="CH170" i="2" l="1"/>
  <c r="CH177" i="2" l="1"/>
  <c r="CH176" i="2"/>
  <c r="CH171" i="2"/>
  <c r="CH172" i="2"/>
  <c r="CH188" i="2" l="1"/>
  <c r="CH193" i="2"/>
  <c r="CH179" i="2"/>
  <c r="CH181" i="2" s="1"/>
  <c r="CI110" i="2" s="1"/>
  <c r="CI166" i="2" l="1"/>
  <c r="BD5" i="3"/>
  <c r="CI170" i="2" l="1"/>
  <c r="CI177" i="2" l="1"/>
  <c r="CI176" i="2"/>
  <c r="CI172" i="2"/>
  <c r="CI171" i="2"/>
  <c r="CI179" i="2" l="1"/>
  <c r="CI181" i="2" s="1"/>
  <c r="CJ110" i="2" s="1"/>
  <c r="CI188" i="2"/>
  <c r="CI193" i="2"/>
  <c r="CJ166" i="2" l="1"/>
  <c r="BE5" i="3"/>
  <c r="CJ170" i="2" l="1"/>
  <c r="CJ177" i="2" s="1"/>
  <c r="CJ171" i="2" l="1"/>
  <c r="CJ176" i="2"/>
  <c r="CJ172" i="2"/>
  <c r="CJ188" i="2" l="1"/>
  <c r="CJ193" i="2"/>
  <c r="CJ179" i="2"/>
  <c r="CJ181" i="2" s="1"/>
  <c r="CK110" i="2" s="1"/>
  <c r="BF5" i="3" l="1"/>
  <c r="CK166" i="2"/>
  <c r="CK170" i="2" l="1"/>
  <c r="CK177" i="2" s="1"/>
  <c r="CK172" i="2" l="1"/>
  <c r="CK176" i="2"/>
  <c r="CK171" i="2"/>
  <c r="CK179" i="2" l="1"/>
  <c r="CK181" i="2" s="1"/>
  <c r="CL110" i="2" s="1"/>
  <c r="CL166" i="2" s="1"/>
  <c r="CK188" i="2"/>
  <c r="CK193" i="2"/>
  <c r="BG5" i="3" l="1"/>
  <c r="CL170" i="2"/>
  <c r="CL177" i="2" s="1"/>
  <c r="CL172" i="2" l="1"/>
  <c r="CL176" i="2"/>
  <c r="CL171" i="2"/>
  <c r="CL193" i="2"/>
  <c r="CL179" i="2" l="1"/>
  <c r="CL181" i="2" s="1"/>
  <c r="CM110" i="2" s="1"/>
  <c r="CL188" i="2"/>
  <c r="CM166" i="2" l="1"/>
  <c r="BH5" i="3"/>
  <c r="CM170" i="2" l="1"/>
  <c r="CM177" i="2" s="1"/>
  <c r="CM176" i="2" l="1"/>
  <c r="CM172" i="2"/>
  <c r="CM171" i="2"/>
  <c r="CM188" i="2" l="1"/>
  <c r="CM179" i="2"/>
  <c r="CM181" i="2" s="1"/>
  <c r="CN110" i="2" s="1"/>
  <c r="CM193" i="2"/>
  <c r="BI5" i="3" l="1"/>
  <c r="CN166" i="2"/>
  <c r="CN170" i="2" l="1"/>
  <c r="CN177" i="2" s="1"/>
  <c r="CN172" i="2" l="1"/>
  <c r="CN171" i="2"/>
  <c r="CN176" i="2"/>
  <c r="CN193" i="2"/>
  <c r="CN179" i="2" l="1"/>
  <c r="CN181" i="2" s="1"/>
  <c r="CO110" i="2" s="1"/>
  <c r="CN188" i="2"/>
  <c r="BJ5" i="3" l="1"/>
  <c r="CO166" i="2"/>
  <c r="CO170" i="2" l="1"/>
  <c r="CO177" i="2" s="1"/>
  <c r="CO171" i="2" l="1"/>
  <c r="CO176" i="2"/>
  <c r="CO172" i="2"/>
  <c r="CO193" i="2"/>
  <c r="CO188" i="2" l="1"/>
  <c r="CO179" i="2"/>
  <c r="CO181" i="2" s="1"/>
  <c r="CP110" i="2" s="1"/>
  <c r="CP166" i="2" l="1"/>
  <c r="BK5" i="3"/>
  <c r="CP170" i="2" l="1"/>
  <c r="CP177" i="2" l="1"/>
  <c r="CQ177" i="2" s="1"/>
  <c r="CQ170" i="2"/>
  <c r="C170" i="2" s="1"/>
  <c r="CP172" i="2"/>
  <c r="CQ172" i="2" s="1"/>
  <c r="CP171" i="2"/>
  <c r="CP176" i="2"/>
  <c r="C177" i="2" l="1"/>
  <c r="CQ171" i="2"/>
  <c r="CQ176" i="2"/>
  <c r="C176" i="2" s="1"/>
  <c r="CP179" i="2"/>
  <c r="CP181" i="2" s="1"/>
  <c r="CP188" i="2"/>
  <c r="C172" i="2"/>
  <c r="CP193" i="2"/>
  <c r="C173" i="2"/>
  <c r="CQ181" i="2" l="1"/>
  <c r="CQ166" i="2"/>
  <c r="CQ193" i="2"/>
  <c r="C193" i="2"/>
  <c r="C188" i="2"/>
  <c r="CQ188" i="2"/>
  <c r="CQ179" i="2"/>
  <c r="C179" i="2" s="1"/>
  <c r="C17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D00-000001000000}">
      <text>
        <r>
          <rPr>
            <sz val="11"/>
            <rFont val="Calibri"/>
            <family val="2"/>
            <scheme val="minor"/>
          </rPr>
          <t>John Diesel:
DME's 16-1 test results</t>
        </r>
      </text>
    </comment>
    <comment ref="C14" authorId="0" shapeId="0" xr:uid="{00000000-0006-0000-0D00-000002000000}">
      <text>
        <r>
          <rPr>
            <sz val="11"/>
            <rFont val="Calibri"/>
            <family val="2"/>
            <scheme val="minor"/>
          </rPr>
          <t xml:space="preserve">John Diesel:
DME 10-1 test results
</t>
        </r>
      </text>
    </comment>
  </commentList>
</comments>
</file>

<file path=xl/sharedStrings.xml><?xml version="1.0" encoding="utf-8"?>
<sst xmlns="http://schemas.openxmlformats.org/spreadsheetml/2006/main" count="1345" uniqueCount="683">
  <si>
    <r>
      <rPr>
        <b/>
        <sz val="14"/>
        <color rgb="FFF2F2F2"/>
        <rFont val="Calibri"/>
        <family val="2"/>
      </rPr>
      <t>Innov8  Resources Cashflow Model</t>
    </r>
    <r>
      <rPr>
        <sz val="14"/>
        <color rgb="FFF2F2F2"/>
        <rFont val="Calibri"/>
        <family val="2"/>
      </rPr>
      <t xml:space="preserve"> </t>
    </r>
  </si>
  <si>
    <t>Item</t>
  </si>
  <si>
    <t>Value</t>
  </si>
  <si>
    <t xml:space="preserve">Table of Contents </t>
  </si>
  <si>
    <t>Version:</t>
  </si>
  <si>
    <t>84‑Month Projection &amp; Supporting Schedules</t>
  </si>
  <si>
    <t>Last Updated</t>
  </si>
  <si>
    <t>Prepared By</t>
  </si>
  <si>
    <t>Galileo Capital Advisors SA</t>
  </si>
  <si>
    <t>MAIN TABLE OF CONTENTS</t>
  </si>
  <si>
    <t>SECTION: Master Output</t>
  </si>
  <si>
    <t>Sheet Name</t>
  </si>
  <si>
    <t>Description / Purpose</t>
  </si>
  <si>
    <t>Feeds Into</t>
  </si>
  <si>
    <t>Budget First 84 Months</t>
  </si>
  <si>
    <t>Master corporate cashflow projection over 84 months</t>
  </si>
  <si>
    <t>SECTION: Debt, Assets &amp; Equipment</t>
  </si>
  <si>
    <t>Debt Service Coverage Ratio</t>
  </si>
  <si>
    <t>DSCR calculations for lenders and covenant checks</t>
  </si>
  <si>
    <t>Loan schedules for processing equipment</t>
  </si>
  <si>
    <t>Asset List &amp; Value</t>
  </si>
  <si>
    <t>Asset inventory and valuation</t>
  </si>
  <si>
    <t>Processing Equipment</t>
  </si>
  <si>
    <t>Equipment details, costs, and depreciation inputs</t>
  </si>
  <si>
    <t>SECTION: Hydrogen &amp; Gas Calculations</t>
  </si>
  <si>
    <t>Hydrogen Calculations</t>
  </si>
  <si>
    <t>Hydrogen production, conversion, and yield assumptions</t>
  </si>
  <si>
    <t>Gases Calculation</t>
  </si>
  <si>
    <t>Gas volumes, pricing, and throughput</t>
  </si>
  <si>
    <t>SECTION: JV Wells &amp; Production Schedules</t>
  </si>
  <si>
    <t>JV 1A Recomplete Wells 1–2 (50% WI)</t>
  </si>
  <si>
    <t>Production, revenue, and cost estimates for recompletes</t>
  </si>
  <si>
    <t>JV 1A Wells 3–5 (50% WI)</t>
  </si>
  <si>
    <t>Production and economics for JV 1A wells 3–5</t>
  </si>
  <si>
    <t>JV2 High Creek Wells (50% WI)</t>
  </si>
  <si>
    <t>Production and economics for JV2 wells</t>
  </si>
  <si>
    <t>JV3 High Creek Wells (100% WI)</t>
  </si>
  <si>
    <t>Production and economics for JV3 wells</t>
  </si>
  <si>
    <t>1‑Well Est. w/ Decline Rates</t>
  </si>
  <si>
    <t>Single‑well production curve and decline modelling - the price per Mcf of gas is changed on the "Budget First 84 Months" Tab - Cell C6</t>
  </si>
  <si>
    <t>All JV well schedules + Budget First 84 Months</t>
  </si>
  <si>
    <t>AFE for Wells</t>
  </si>
  <si>
    <t>Authorization for Expenditure estimates for wells</t>
  </si>
  <si>
    <t>SECTION: Operating Costs</t>
  </si>
  <si>
    <t>Overhead Exp.</t>
  </si>
  <si>
    <t>Field Operations</t>
  </si>
  <si>
    <t>Innov8 Gases Corporation</t>
  </si>
  <si>
    <t>SOURCES AND USES OF FUNDS MONTHS 1-84 FOR 100 WELLS</t>
  </si>
  <si>
    <t xml:space="preserve">Debt Financing for Processing Plants  </t>
  </si>
  <si>
    <t>Interest Rate</t>
  </si>
  <si>
    <t>Helium %age of total well gas</t>
  </si>
  <si>
    <t>Mcf/da.  (Engineer's report projects 2,000 Mcf/da average from wells.)</t>
  </si>
  <si>
    <t xml:space="preserve">Helium Offtake Price/Mcf  (28.3168 cubic meters) </t>
  </si>
  <si>
    <t>To stress test the proejctions for Helium well outputss, adjust the assuptions of cells C4 and C5. To adjust the revenues for the gases, adjust the percentages in cells D5 to D7.</t>
  </si>
  <si>
    <t>Wells Producing Liquefied Gases</t>
  </si>
  <si>
    <t>Total Number of Wells Producing Liquefied Gases</t>
  </si>
  <si>
    <t>Months</t>
  </si>
  <si>
    <t>NOTES</t>
  </si>
  <si>
    <t>SOURCES OF FUNDS</t>
  </si>
  <si>
    <t>Amount</t>
  </si>
  <si>
    <t>Totals</t>
  </si>
  <si>
    <t>Year 1</t>
  </si>
  <si>
    <t>Year 2</t>
  </si>
  <si>
    <t>Year 3</t>
  </si>
  <si>
    <t>Year 4</t>
  </si>
  <si>
    <t>Year 5</t>
  </si>
  <si>
    <t>Year 6</t>
  </si>
  <si>
    <t>Year 7</t>
  </si>
  <si>
    <t>Processing and Liquefaction Plant Debt Financing</t>
  </si>
  <si>
    <t>Equity Investment</t>
  </si>
  <si>
    <t>50% Working Interest (WI)  2 Workover Wells - JV1A Wells 1 and 2</t>
  </si>
  <si>
    <t>50% WI on JV1A Wells 3-5</t>
  </si>
  <si>
    <t>50% WI on JV2 High Creek Wells 6-10</t>
  </si>
  <si>
    <t>100% WI on JV3 Wells 11-15</t>
  </si>
  <si>
    <t>100% WI on JV3 Wells 16-20</t>
  </si>
  <si>
    <t>95% WI JV 1B Wells  21-25</t>
  </si>
  <si>
    <t>100% WI on JV3 Wells 26-30</t>
  </si>
  <si>
    <t>95% WI JV 1B Wells  31-35</t>
  </si>
  <si>
    <t>100% WI on JV3 Wells 36-40</t>
  </si>
  <si>
    <t>95% WI JV 1B Wells  41-45</t>
  </si>
  <si>
    <t>100% WI on JV3 Wells 46-50</t>
  </si>
  <si>
    <t>95% WI JV 1B Wells  51-55</t>
  </si>
  <si>
    <t>100% WI on JV3 Wells 56-60</t>
  </si>
  <si>
    <t>95% WI JV 1B Wells  61-65</t>
  </si>
  <si>
    <t>100% WI on JV3 Wells 66-70</t>
  </si>
  <si>
    <t>95% WI JV 1B Wells  71-75</t>
  </si>
  <si>
    <t>100% WI on JV3 Wells 76-80</t>
  </si>
  <si>
    <t>95% WI JV 1B Wells  81-85</t>
  </si>
  <si>
    <t>100% WI on JV3 Wells 86-90</t>
  </si>
  <si>
    <t>95% WI JV 1B Wells  91-95</t>
  </si>
  <si>
    <t>95% WI JV 1B Wells  96-100</t>
  </si>
  <si>
    <t>Add back Working Interest holders share of the Well Cost</t>
  </si>
  <si>
    <t xml:space="preserve">TOTAL SOURCES OF FUNDS </t>
  </si>
  <si>
    <t>USES OF FUNDS</t>
  </si>
  <si>
    <t>General and Administrative Expenses</t>
  </si>
  <si>
    <t>Gas Processing, Electrolyzer, Liquefaction Operating Costs</t>
  </si>
  <si>
    <t xml:space="preserve">Consulting Fees - Engineering Processing Units, Logistics, Development </t>
  </si>
  <si>
    <t>Well , Lease, and Drilling Cost</t>
  </si>
  <si>
    <t>Geo Science</t>
  </si>
  <si>
    <t>Injection Wells</t>
  </si>
  <si>
    <t>Recomplete Well 16-1 JV1A Well 1</t>
  </si>
  <si>
    <t>New Drill Wells Below:</t>
  </si>
  <si>
    <t>Gas Separation  Liquefaction, and Electorlyzer Equipment</t>
  </si>
  <si>
    <t>Process &amp; Liquefaction Equipment for JV1A Wells 1-5</t>
  </si>
  <si>
    <t>.</t>
  </si>
  <si>
    <t>Process &amp; Liquefaction Equipment for JV2 Wells 6-10</t>
  </si>
  <si>
    <t>Process &amp; Liquefaction Equipment for JV3 Wells 11-15</t>
  </si>
  <si>
    <t>Process &amp; Liquefaction Equipment for JV3 Wells 16-20</t>
  </si>
  <si>
    <t>Process &amp; Liquefaction Equipment for JV1B Wells 21-25</t>
  </si>
  <si>
    <t>Process &amp; Liquefaction Equipment for JV3 Wells 26-30</t>
  </si>
  <si>
    <t>Process &amp; Liquefaction Equipment for JV1B Wells 31-35</t>
  </si>
  <si>
    <t>Process &amp; Liquefaction Equipment for JV3 Wells 36-40</t>
  </si>
  <si>
    <t>Process &amp; Liquefaction Equipment for JV1B Wells 41-45</t>
  </si>
  <si>
    <t>Process &amp; Liquefaction Equipment for JV3 Wells 46-50</t>
  </si>
  <si>
    <t>Process &amp; Liquefaction Equipment for JV1B Wells 51-55</t>
  </si>
  <si>
    <t>Process &amp; Liquefaction Equipment for JV3 Wells 56-60</t>
  </si>
  <si>
    <t>Process &amp; Liquefaction Equipment for JV1B Wells 61-65</t>
  </si>
  <si>
    <t>Process &amp; Liquefaction Equipment for JV3 Wells 66-70</t>
  </si>
  <si>
    <t>Process &amp; Liquefaction Equipment for JV1B Wells 71-75</t>
  </si>
  <si>
    <t>Process &amp; Liquefaction Equipment for JV3 Wells 76-80</t>
  </si>
  <si>
    <t>Process &amp; Liquefaction Equipment for JV1B Wells 81-85</t>
  </si>
  <si>
    <t>Process &amp; Liquefaction Equipment for JV3 Wells 86-90</t>
  </si>
  <si>
    <t>Process &amp; Liquefaction Equipment for JV1B Wells 91-95</t>
  </si>
  <si>
    <t>Process &amp; Liquefaction Equipment for JV3 Wells 96-100</t>
  </si>
  <si>
    <t>TOTAL USES OF FUNDS</t>
  </si>
  <si>
    <t xml:space="preserve">Cash Flow from Operations and Financing </t>
  </si>
  <si>
    <t>Interest Payments on Equiptment Debt for Plant Month 1</t>
  </si>
  <si>
    <t>Principlal on Equipment Debt Repayments Month 1</t>
  </si>
  <si>
    <t>Interest Payments on Equiptment Debt for Plant Month 2</t>
  </si>
  <si>
    <t>Principal on Equipment Debt Repayments Month 2</t>
  </si>
  <si>
    <t>Interest Payments on Equiptment Debt for Plant 4</t>
  </si>
  <si>
    <t>Principal on Equipment Debt Repayments Month 4</t>
  </si>
  <si>
    <t>Interest Payments on Equiptment Debt for Plant 5</t>
  </si>
  <si>
    <t>Principal on Equipment Debt Repayments Month 5</t>
  </si>
  <si>
    <t>Return Payments on Equiptment for Plant Sukuk Financing Month 6</t>
  </si>
  <si>
    <t>Principal on Equipment Debt Repayments Month 6</t>
  </si>
  <si>
    <t>Interest Payments on Equiptment Debt for Plant 7</t>
  </si>
  <si>
    <t>Principal on Equipment Debt Repayments Month 7</t>
  </si>
  <si>
    <t>Interest Payments on Equiptment Debt for Plant Month 8</t>
  </si>
  <si>
    <t>Principal on Equipment Debt Repayments Month 8</t>
  </si>
  <si>
    <t>Interest Payments on Equiptment Debt for Plant Month 9</t>
  </si>
  <si>
    <t>Principal on Equipment Debt Repayments Month 9</t>
  </si>
  <si>
    <t>Interest Payments on Equiptment Debt for Plant Month 10</t>
  </si>
  <si>
    <t>Principal on Equipment Debt Repayments Month 10</t>
  </si>
  <si>
    <t>Interest Payments on Equiptment Debt for Plant Month 11</t>
  </si>
  <si>
    <t>Principal on Equipment Debt Repayments Month 11</t>
  </si>
  <si>
    <t>Interest Payments on Equiptment Debt for Plant Month 12</t>
  </si>
  <si>
    <t>Principal on Equipment Debt Repayments Month 12</t>
  </si>
  <si>
    <t>Interest Payments on Equiptment Debt for Plant Month 13</t>
  </si>
  <si>
    <t>Principal on Equipment Debt Repayments Month 13</t>
  </si>
  <si>
    <t>Interest Payments on Equiptment Debt for Plant Month 14</t>
  </si>
  <si>
    <t>Principal on Equipment Debt Repayments Month 14</t>
  </si>
  <si>
    <t>Interest Payments on Equiptment Debt for Plant Month 15</t>
  </si>
  <si>
    <t>Principal on Equipment Debt Repayments Month 15</t>
  </si>
  <si>
    <t>Interest Payments on Equiptment Debt for Plant Month 16</t>
  </si>
  <si>
    <t>Principal on Equipment Debt Repayments Month 16</t>
  </si>
  <si>
    <t>Interest Payments on Equiptment Debt for Plant Month 17</t>
  </si>
  <si>
    <t>Principal on Equipment Debt Repayments Month 17</t>
  </si>
  <si>
    <t>Interest Payments on Equiptment Debt for Plant Month 18</t>
  </si>
  <si>
    <t>Principal on Equipment Debt Repayments Month 18</t>
  </si>
  <si>
    <t>Interest Payments on Equiptment Debt for Plant Month 19</t>
  </si>
  <si>
    <t>Principal on Equipment Debt Repayments Month 19</t>
  </si>
  <si>
    <t>Interest Payments on Equiptment Debt for Plant Month 20</t>
  </si>
  <si>
    <t>Principal on Equipment Debt Repayments Month 20</t>
  </si>
  <si>
    <t>Interest Payments on Equiptment Debt for Plant Month 21</t>
  </si>
  <si>
    <t>Principal on Equipment Debt Repayments Month 21</t>
  </si>
  <si>
    <t>Interest Payments on Equiptment Debt for Plant Month 22</t>
  </si>
  <si>
    <t>Principal on Equipment Debt Repayments Month 22</t>
  </si>
  <si>
    <t>Interest Payments on Equiptment Debt for Plant Month 23</t>
  </si>
  <si>
    <t>Principal on Equipment Debt Repayments Month 23</t>
  </si>
  <si>
    <t>Interest Payments on Equiptment Debt for Plant Month 24</t>
  </si>
  <si>
    <t>Principal on Equipment Debt Repayments Month 24</t>
  </si>
  <si>
    <t>Month</t>
  </si>
  <si>
    <t xml:space="preserve">Net Cash Flow to Innov8 Gases for Distributions </t>
  </si>
  <si>
    <t>Dividends to Innov8 Gases Corporation 52%</t>
  </si>
  <si>
    <t>Total Dividend Payments</t>
  </si>
  <si>
    <t>NOTES:</t>
  </si>
  <si>
    <t>First two wells are the workover wells in the joint venture with AEP JV 1A Leases.</t>
  </si>
  <si>
    <t xml:space="preserve">Innov8 Gases Corp. assumes, after discussions with the management of High Creek, that High Creek will not be funding its share of the 50% cost of drilling on the JV 3 Wells. </t>
  </si>
  <si>
    <t>Working Interest holders of JV1B will be responsible for paying for their share of the processing units. Innov8 Gases management assumes only the owners of 5% of the W.I. will be participating in the JV1B wells.</t>
  </si>
  <si>
    <t>The Operating Costs per well are shown on the Field Operations Tab.</t>
  </si>
  <si>
    <t>After the H2 and Oxygen are separted from the well water, the sledge needs to be placed in an injection well. There is one injection well projected for each 20 wells drilled.</t>
  </si>
  <si>
    <t>OTHER NOTES:</t>
  </si>
  <si>
    <t>DEBT SERVICE COVERAGE RATIO</t>
  </si>
  <si>
    <t>MONTH</t>
  </si>
  <si>
    <t xml:space="preserve">Cash On Hand </t>
  </si>
  <si>
    <t>EBITDA</t>
  </si>
  <si>
    <t>Current Month DSRC</t>
  </si>
  <si>
    <t>PROCESSING AND LIQUEFACTION EQUIPMENT LOAN FINANCING</t>
  </si>
  <si>
    <t>Input Cells</t>
  </si>
  <si>
    <t>Plant Loan Month 1</t>
  </si>
  <si>
    <t>Principal Amount</t>
  </si>
  <si>
    <t>Amortization</t>
  </si>
  <si>
    <t>24 months accumulated interest, then 5-year amortization due in 7 years</t>
  </si>
  <si>
    <t>Term in Years</t>
  </si>
  <si>
    <t>No. of  Principal Payments</t>
  </si>
  <si>
    <t>Annual Return Rate</t>
  </si>
  <si>
    <t>Monthly Rate</t>
  </si>
  <si>
    <t>Initial Date</t>
  </si>
  <si>
    <t>Month 1</t>
  </si>
  <si>
    <t>Monthly Payment</t>
  </si>
  <si>
    <t>Accrued Interest</t>
  </si>
  <si>
    <t>Beginning Balance</t>
  </si>
  <si>
    <t>Payment</t>
  </si>
  <si>
    <t>Interest</t>
  </si>
  <si>
    <t>Principal</t>
  </si>
  <si>
    <t>Ending Balance</t>
  </si>
  <si>
    <t>Plant Loan Month 2</t>
  </si>
  <si>
    <t>Month 3</t>
  </si>
  <si>
    <t>Plant Loan Month 3</t>
  </si>
  <si>
    <t>Plant Loan Month 4</t>
  </si>
  <si>
    <t>Month 4</t>
  </si>
  <si>
    <t>Plant Loan Month 5</t>
  </si>
  <si>
    <t>Month 9</t>
  </si>
  <si>
    <t>24 months accumulated distribution payments, then 5-year amortization due in 7 years</t>
  </si>
  <si>
    <t>Month 6</t>
  </si>
  <si>
    <t>Return Payment</t>
  </si>
  <si>
    <t>Plant Loan Month 7</t>
  </si>
  <si>
    <t>Month 7</t>
  </si>
  <si>
    <t>Plant Loan Month 8</t>
  </si>
  <si>
    <t>Month 8</t>
  </si>
  <si>
    <t>Plant Loan Month 9</t>
  </si>
  <si>
    <t>Plant Loan Month 10</t>
  </si>
  <si>
    <t>Month 10</t>
  </si>
  <si>
    <t>Plant Loan Month 11</t>
  </si>
  <si>
    <t>Month 11</t>
  </si>
  <si>
    <t>Plant Loan Month 12</t>
  </si>
  <si>
    <t>Month 12</t>
  </si>
  <si>
    <t>Plant Loan Month 13</t>
  </si>
  <si>
    <t>Month 13</t>
  </si>
  <si>
    <t>Plant Loan Month 14</t>
  </si>
  <si>
    <t>Month 14</t>
  </si>
  <si>
    <t>Plant Loan Month 15</t>
  </si>
  <si>
    <t>Month 15</t>
  </si>
  <si>
    <t>Plant Loan Month 16</t>
  </si>
  <si>
    <t>Month 16</t>
  </si>
  <si>
    <t>Plant Loan Month 17</t>
  </si>
  <si>
    <t>Month 17</t>
  </si>
  <si>
    <t>Plant Loan Month 18</t>
  </si>
  <si>
    <t>Principle Amount</t>
  </si>
  <si>
    <t>Interest Only 12 months, then 4-year amortization due in 5 years</t>
  </si>
  <si>
    <t>Annual Interest rate</t>
  </si>
  <si>
    <t>Month 18</t>
  </si>
  <si>
    <t>Principle</t>
  </si>
  <si>
    <t>Plant Loan Month 19</t>
  </si>
  <si>
    <t>Month 19</t>
  </si>
  <si>
    <t>Plant Loan Month 20</t>
  </si>
  <si>
    <t>Month 20</t>
  </si>
  <si>
    <t>Plant Loan Month 21</t>
  </si>
  <si>
    <t>Month 21</t>
  </si>
  <si>
    <t>Plant Loan Month 22</t>
  </si>
  <si>
    <t>Month 22</t>
  </si>
  <si>
    <t>Plant Loan Month 23</t>
  </si>
  <si>
    <t>Month 23</t>
  </si>
  <si>
    <t>Plant Loan Month 24</t>
  </si>
  <si>
    <t>ASSET DESCRIPTION</t>
  </si>
  <si>
    <t>AMOUNT</t>
  </si>
  <si>
    <t>MARKET VALUE</t>
  </si>
  <si>
    <t>TOTAL</t>
  </si>
  <si>
    <t>Lease Acres</t>
  </si>
  <si>
    <t>Based on acreage offsetting Leases Hunt Oil.</t>
  </si>
  <si>
    <t>50% of 20,035 Acres</t>
  </si>
  <si>
    <t>Drilling Cost</t>
  </si>
  <si>
    <t>Workover Rig</t>
  </si>
  <si>
    <t>10,000 Ft. Drilling Rig (25% ownership)</t>
  </si>
  <si>
    <t>Roads and Pads</t>
  </si>
  <si>
    <t>Sproule ERCE Resource Report</t>
  </si>
  <si>
    <t>Geological Wellbore Review by Paul Spear</t>
  </si>
  <si>
    <t>TOTAL TANGIBLE ASSETS</t>
  </si>
  <si>
    <t>CO2 offtake agreements currenlty offered</t>
  </si>
  <si>
    <t xml:space="preserve">SPROULE ENGINNEERING RESOURCE  REPORT </t>
  </si>
  <si>
    <t>IN-GROUND</t>
  </si>
  <si>
    <t xml:space="preserve"> </t>
  </si>
  <si>
    <t>Estimated Recoverable Helium Reserves in the A, B and C areas of the Report</t>
  </si>
  <si>
    <t>Cu. Ft. of Helium</t>
  </si>
  <si>
    <t>Innov8 Gases' Leases cover 26% of this area and are in the A ("minimum risk" zones)</t>
  </si>
  <si>
    <t>Cu. Ft.</t>
  </si>
  <si>
    <t>Off-Take Price</t>
  </si>
  <si>
    <t>Est. Value of Recoverable Reserves</t>
  </si>
  <si>
    <t xml:space="preserve">NOTE: </t>
  </si>
  <si>
    <t>FUNDING SCHEDULE</t>
  </si>
  <si>
    <t>Phase</t>
  </si>
  <si>
    <t>Task</t>
  </si>
  <si>
    <t>I</t>
  </si>
  <si>
    <t xml:space="preserve">1st PMT (50%) </t>
  </si>
  <si>
    <t>2nd PMT (25%)</t>
  </si>
  <si>
    <t>3rd PMT (15%)</t>
  </si>
  <si>
    <t>4th PMT (10%)</t>
  </si>
  <si>
    <t>II</t>
  </si>
  <si>
    <t>1st PMT (50%)</t>
  </si>
  <si>
    <t>III</t>
  </si>
  <si>
    <t>Liquefaction (Henderson &amp; El Paso) $16,139,095</t>
  </si>
  <si>
    <t>IV</t>
  </si>
  <si>
    <t>Wells 6-10 (El Paso)</t>
  </si>
  <si>
    <t>Liquefaction - Wells 6-10 (Henderson)</t>
  </si>
  <si>
    <t>Ops Cost/Day/MCF</t>
  </si>
  <si>
    <t>Ops/Well/Mo.*</t>
  </si>
  <si>
    <t>CONCHO DOME</t>
  </si>
  <si>
    <t xml:space="preserve">DESERT MOUNTAIN ENERGY PINTA DOME AREA WELL </t>
  </si>
  <si>
    <t>Flow Rate</t>
  </si>
  <si>
    <t>Mcf/da</t>
  </si>
  <si>
    <t>Barrels</t>
  </si>
  <si>
    <t>Hydrogen</t>
  </si>
  <si>
    <t>Helium</t>
  </si>
  <si>
    <t>Approximately 24 wells</t>
  </si>
  <si>
    <t>MT Hydrogen/Da</t>
  </si>
  <si>
    <t>Mcf Nitrogen</t>
  </si>
  <si>
    <t>CO2</t>
  </si>
  <si>
    <t>Production Days/Year</t>
  </si>
  <si>
    <t>Days per Mo</t>
  </si>
  <si>
    <t>Nitrogen</t>
  </si>
  <si>
    <t xml:space="preserve">Off-Take Contracts Available </t>
  </si>
  <si>
    <t>Methane</t>
  </si>
  <si>
    <t>Production Tax Credits per Tonne</t>
  </si>
  <si>
    <t>O2</t>
  </si>
  <si>
    <t>Hydrodgen Price/Mt</t>
  </si>
  <si>
    <t>Argon</t>
  </si>
  <si>
    <t>Total Operating Cost per MT including amortization, plant, and equipment*</t>
  </si>
  <si>
    <t>Seawater/well/da</t>
  </si>
  <si>
    <t>100+</t>
  </si>
  <si>
    <t>100 barrels/da =1 MT H2</t>
  </si>
  <si>
    <t xml:space="preserve">TURBINES </t>
  </si>
  <si>
    <t>Wells</t>
  </si>
  <si>
    <t>MT of H2/da</t>
  </si>
  <si>
    <t xml:space="preserve">H2 Well Gas/mo </t>
  </si>
  <si>
    <t>Total Rev./mo</t>
  </si>
  <si>
    <t>Annual Revenue</t>
  </si>
  <si>
    <t>Profit/mo</t>
  </si>
  <si>
    <t>Annualized Profit</t>
  </si>
  <si>
    <t>MW</t>
  </si>
  <si>
    <t>Turbine Output</t>
  </si>
  <si>
    <t>MW/hr</t>
  </si>
  <si>
    <t>4 Turbines</t>
  </si>
  <si>
    <t>MT/hr</t>
  </si>
  <si>
    <t>MT/da</t>
  </si>
  <si>
    <t>NITROGEN FOR TURBINES</t>
  </si>
  <si>
    <t>Gallons/6 MW Turbine/hr</t>
  </si>
  <si>
    <t>Liters/6MW Turbine/hr</t>
  </si>
  <si>
    <t>Liters/ hr/4 Turbines</t>
  </si>
  <si>
    <t>SCF Nitrogen/Gallon</t>
  </si>
  <si>
    <t>SCF Nitrogen/6MW Turbine/hr</t>
  </si>
  <si>
    <t>SCF Nitrogen/6MW Turbine/da</t>
  </si>
  <si>
    <t>SCF for 4, 6MW Turbines/da</t>
  </si>
  <si>
    <t>SCF Ouput/well/da</t>
  </si>
  <si>
    <t>TOTALS</t>
  </si>
  <si>
    <t>REVENUE CALCULATION/DAY ON 347 DAY YEAR</t>
  </si>
  <si>
    <t>DAYS PER MONTH</t>
  </si>
  <si>
    <t>Concho Dome Well</t>
  </si>
  <si>
    <t>MCF, GAS</t>
  </si>
  <si>
    <t>Liters, Liquid</t>
  </si>
  <si>
    <t>Gallons, Liquid</t>
  </si>
  <si>
    <t>Vol, Tonnes/Day</t>
  </si>
  <si>
    <t>Tonne/Month</t>
  </si>
  <si>
    <t>Tonnes/Yr</t>
  </si>
  <si>
    <t>Spot/Tonne</t>
  </si>
  <si>
    <t>PTC/mt*</t>
  </si>
  <si>
    <t>Total/Day</t>
  </si>
  <si>
    <t>Net of Royalty &amp; Taxes</t>
  </si>
  <si>
    <t>Year</t>
  </si>
  <si>
    <t>% of Rev.</t>
  </si>
  <si>
    <t>Total Flow Rate Mcf/da</t>
  </si>
  <si>
    <t>Including PTCs</t>
  </si>
  <si>
    <r>
      <rPr>
        <b/>
        <sz val="11"/>
        <rFont val="Calibri"/>
        <family val="2"/>
      </rPr>
      <t>H</t>
    </r>
    <r>
      <rPr>
        <b/>
        <vertAlign val="subscript"/>
        <sz val="11"/>
        <rFont val="Calibri"/>
        <family val="2"/>
      </rPr>
      <t>2</t>
    </r>
    <r>
      <rPr>
        <b/>
        <sz val="11"/>
        <rFont val="Calibri"/>
        <family val="2"/>
      </rPr>
      <t xml:space="preserve"> (gallons of well water)</t>
    </r>
  </si>
  <si>
    <t>Percent</t>
  </si>
  <si>
    <r>
      <rPr>
        <b/>
        <sz val="11"/>
        <rFont val="Calibri"/>
        <family val="2"/>
      </rPr>
      <t>H</t>
    </r>
    <r>
      <rPr>
        <b/>
        <vertAlign val="subscript"/>
        <sz val="11"/>
        <rFont val="Calibri"/>
        <family val="2"/>
      </rPr>
      <t>2</t>
    </r>
    <r>
      <rPr>
        <b/>
        <sz val="11"/>
        <rFont val="Calibri"/>
        <family val="2"/>
      </rPr>
      <t xml:space="preserve"> (gas from wells)</t>
    </r>
  </si>
  <si>
    <t>He</t>
  </si>
  <si>
    <r>
      <rPr>
        <b/>
        <sz val="11"/>
        <rFont val="Calibri"/>
        <family val="2"/>
      </rPr>
      <t>CO</t>
    </r>
    <r>
      <rPr>
        <b/>
        <vertAlign val="subscript"/>
        <sz val="11"/>
        <rFont val="Calibri"/>
        <family val="2"/>
      </rPr>
      <t>2</t>
    </r>
  </si>
  <si>
    <r>
      <rPr>
        <b/>
        <sz val="11"/>
        <rFont val="Calibri"/>
        <family val="2"/>
      </rPr>
      <t>O</t>
    </r>
    <r>
      <rPr>
        <b/>
        <vertAlign val="subscript"/>
        <sz val="11"/>
        <rFont val="Calibri"/>
        <family val="2"/>
      </rPr>
      <t>2</t>
    </r>
  </si>
  <si>
    <r>
      <rPr>
        <b/>
        <sz val="11"/>
        <rFont val="Calibri"/>
        <family val="2"/>
      </rPr>
      <t>LN</t>
    </r>
    <r>
      <rPr>
        <b/>
        <vertAlign val="subscript"/>
        <sz val="11"/>
        <rFont val="Calibri"/>
        <family val="2"/>
      </rPr>
      <t>2</t>
    </r>
  </si>
  <si>
    <t>Ne</t>
  </si>
  <si>
    <t>Ar</t>
  </si>
  <si>
    <t>Rev Total, Per Day</t>
  </si>
  <si>
    <t>Rev Total, Per Month</t>
  </si>
  <si>
    <t>Net Revenues Per Month/Well</t>
  </si>
  <si>
    <t>Rev Total, Per Year</t>
  </si>
  <si>
    <t>Gases</t>
  </si>
  <si>
    <t>* PTC = Production Tax Credit</t>
  </si>
  <si>
    <t xml:space="preserve">  </t>
  </si>
  <si>
    <t>Innov8 Gases - AEP/PSUD Revenue from Currently Drilled Work-over Wells</t>
  </si>
  <si>
    <t>*Mcf/day/well - a conservative estimate</t>
  </si>
  <si>
    <t>Conservative estimate based on the wells already drilled</t>
  </si>
  <si>
    <t>Recent long term  off-take price agreement for Helium gas sale price on a take or pay contract in Apache Country</t>
  </si>
  <si>
    <t>Gross Revenue/day</t>
  </si>
  <si>
    <t>Excise Tax 3.75%</t>
  </si>
  <si>
    <t>Excise Tax Payment</t>
  </si>
  <si>
    <t>Net Revenue Interest or total Working Interest</t>
  </si>
  <si>
    <t>Royalty Payment</t>
  </si>
  <si>
    <t>Net Revenue Interest or total Working Interest/day</t>
  </si>
  <si>
    <t>Innov8 Gases share of the JV working interest</t>
  </si>
  <si>
    <t>Innov8 Gases Net Revenue Interest</t>
  </si>
  <si>
    <t>Overriding Royalty on NWI</t>
  </si>
  <si>
    <t>ORR Payment</t>
  </si>
  <si>
    <t>NWI per day Innov8 Gases</t>
  </si>
  <si>
    <t>Number of wells</t>
  </si>
  <si>
    <t xml:space="preserve">Innov8 Gases' daily return </t>
  </si>
  <si>
    <t>Operating days per year per well</t>
  </si>
  <si>
    <t xml:space="preserve">Projected Revenue per year </t>
  </si>
  <si>
    <t>Projected Revenue per Month</t>
  </si>
  <si>
    <t>*Historical reports supported by an independent geologists show wells should have an output of 1,500 Mcf/da. Innov8 Gases is using 1,250 Mcf/da</t>
  </si>
  <si>
    <t>Innov8 Gases - AEP/PSUD Revenue from Area of Common Interest Wells 50/50 Net Revenue Interest Split</t>
  </si>
  <si>
    <t>Innov8 Gases - AEP/PSUD Revenue from Area of Common Interest Wells estimated 95% Net Working Interest to Innov8 Gases</t>
  </si>
  <si>
    <t xml:space="preserve">Net Revenue after Excise Tax </t>
  </si>
  <si>
    <t>Innov8 Gases- Pinta Dome Revenue from New Wells 100% Net Profits Interest</t>
  </si>
  <si>
    <t>NOTE:  The following is an sensitivity model for one well.  The sensitivities (as noted) are based off of data from two DME wells. In addition, Innov8 Gases is in the process of working over two existing wells in the basin that Petrosun/AEP drilled - this is exploitation activity.  One of which has a contingent resource estimate from Sproule of several Bcf.  Exploration sites were selected using subsurface geology and GeoEnhanced Technologies proprietary Bio-Wave Electro-Seismic developed by a joint research project by seismologists at MIT and  California Institute of Technology.</t>
  </si>
  <si>
    <t>Working Interest</t>
  </si>
  <si>
    <t>Net Revenue Interest</t>
  </si>
  <si>
    <t>Scenario</t>
  </si>
  <si>
    <t>Helium %</t>
  </si>
  <si>
    <t>Projected Daily Mcf</t>
  </si>
  <si>
    <t>Helium /Mcf</t>
  </si>
  <si>
    <t>Price /Mcf</t>
  </si>
  <si>
    <t>Average # of Days in Month</t>
  </si>
  <si>
    <t>Gross Revenue per Well/Mo.</t>
  </si>
  <si>
    <t>Est. Annual Net Revenue per Well</t>
  </si>
  <si>
    <t>Scenario Revenue per Well</t>
  </si>
  <si>
    <t>Prices $/mcf</t>
  </si>
  <si>
    <t>Low</t>
  </si>
  <si>
    <t>High</t>
  </si>
  <si>
    <t>Mid</t>
  </si>
  <si>
    <t>Weighting</t>
  </si>
  <si>
    <t>Weighted average price for Helium Gas</t>
  </si>
  <si>
    <t>Definitions:</t>
  </si>
  <si>
    <t>DME's reported 2nd best well (10-1) at 24,214 Mcf/day a with 7.13% helium and worst well (16-1) at 1,251 Mcf/day (rock formation at 16-1 has low permiability) with 4.09% helium</t>
  </si>
  <si>
    <t>Total Initial Rev.</t>
  </si>
  <si>
    <t>Total Rev 19 Years</t>
  </si>
  <si>
    <t>1*</t>
  </si>
  <si>
    <t>TOTOAL</t>
  </si>
  <si>
    <t>% of Total Reserves/Yr.</t>
  </si>
  <si>
    <t>Net Revenue per well</t>
  </si>
  <si>
    <t>*Note: Assumes the well will be drilled and a gas processing plant will be in place by the end of year 1.</t>
  </si>
  <si>
    <t>Sources:</t>
  </si>
  <si>
    <t>Pricing guidance from Edelgas &amp; AKAP Energy</t>
  </si>
  <si>
    <t xml:space="preserve">Price in model is </t>
  </si>
  <si>
    <t>of guidance</t>
  </si>
  <si>
    <t>Daily Production - from press releases</t>
  </si>
  <si>
    <t>Helium Percentage - from press releases and historical values from Kerr McGee Wells</t>
  </si>
  <si>
    <t>Production Curve - from published report on all wells from the Pinta Dome Field</t>
  </si>
  <si>
    <t>DRILLING COST INTANGIBLES</t>
  </si>
  <si>
    <t>COMPLETION COSTS - INTANGIBLE</t>
  </si>
  <si>
    <t>Administrative Overhead $8,962.84</t>
  </si>
  <si>
    <t>Casing Crew</t>
  </si>
  <si>
    <t>Location: Surveyor Permits and fees</t>
  </si>
  <si>
    <t>Completion Unit</t>
  </si>
  <si>
    <t>Geoscience - BIOT Seismic</t>
  </si>
  <si>
    <t>Wireline</t>
  </si>
  <si>
    <t>Location: Road. Pad and clean up</t>
  </si>
  <si>
    <t>Stimulation</t>
  </si>
  <si>
    <t>Land Lease, Legal Opinion</t>
  </si>
  <si>
    <t>Water</t>
  </si>
  <si>
    <t>Roustabout</t>
  </si>
  <si>
    <t>Rentals</t>
  </si>
  <si>
    <t>Contingency</t>
  </si>
  <si>
    <t>Trucking</t>
  </si>
  <si>
    <t>Supervision</t>
  </si>
  <si>
    <t>Dirtwork</t>
  </si>
  <si>
    <t>Drilling plus Mobilization Cost</t>
  </si>
  <si>
    <t>Miscellaneous Cost</t>
  </si>
  <si>
    <t>Drill Bits</t>
  </si>
  <si>
    <t>Administrative Overhead</t>
  </si>
  <si>
    <t>Rental Equipment</t>
  </si>
  <si>
    <t>Rig Fuel &amp; Utilities</t>
  </si>
  <si>
    <t>Water &amp; Water Hauling</t>
  </si>
  <si>
    <t>Mud and Materials</t>
  </si>
  <si>
    <t>Longstring Casing</t>
  </si>
  <si>
    <t>Tubing</t>
  </si>
  <si>
    <t>Well Testing</t>
  </si>
  <si>
    <t>Rods and Subsurface Pump</t>
  </si>
  <si>
    <t>Cementing</t>
  </si>
  <si>
    <t>Valves, Piping and Fitting</t>
  </si>
  <si>
    <t>TOTAL COSTS</t>
  </si>
  <si>
    <t>Wellhead Equipment</t>
  </si>
  <si>
    <t>Pumpjack w/ Prime Mover</t>
  </si>
  <si>
    <t>TANGIBLE DRILLING COST</t>
  </si>
  <si>
    <t>Production Unit</t>
  </si>
  <si>
    <t>Surface Casing</t>
  </si>
  <si>
    <t>Production Tanks &amp; Pits</t>
  </si>
  <si>
    <t>Intermediate Casing</t>
  </si>
  <si>
    <t>Miscellaneous Equipment</t>
  </si>
  <si>
    <t>Long String Casing</t>
  </si>
  <si>
    <t>Contingency + 12% Well Failure Rate</t>
  </si>
  <si>
    <t xml:space="preserve">TOTAL  </t>
  </si>
  <si>
    <t>TOTAL WELL COST</t>
  </si>
  <si>
    <t>Multi-Well Saving</t>
  </si>
  <si>
    <t>Cost Per Well with 5 Well Progam</t>
  </si>
  <si>
    <t xml:space="preserve"> Overhead Expenses</t>
  </si>
  <si>
    <t>Annual inflation rate raises</t>
  </si>
  <si>
    <t>Expense</t>
  </si>
  <si>
    <t>Chairman of the Board</t>
  </si>
  <si>
    <t>Alan Gaines</t>
  </si>
  <si>
    <t>Outside Directors</t>
  </si>
  <si>
    <t>Douglas MacLellan &amp; Clifford Cain</t>
  </si>
  <si>
    <t>CEO (Director)</t>
  </si>
  <si>
    <t>John MacPhail</t>
  </si>
  <si>
    <t>CEO Assistant</t>
  </si>
  <si>
    <t>Jack MacPhail</t>
  </si>
  <si>
    <t>CFO</t>
  </si>
  <si>
    <t>Charlie  Richard</t>
  </si>
  <si>
    <t>Accountant</t>
  </si>
  <si>
    <t>TBD</t>
  </si>
  <si>
    <t>Benefits</t>
  </si>
  <si>
    <t>Rent, Phone, Internet, Supplies, Utilities</t>
  </si>
  <si>
    <t>Travel and Entertainment</t>
  </si>
  <si>
    <t>Blue Sky</t>
  </si>
  <si>
    <t>Share Printing</t>
  </si>
  <si>
    <t>Transfer Agent</t>
  </si>
  <si>
    <t>Annual Shareholder Meeting &amp;  Proxy Vote</t>
  </si>
  <si>
    <t>Legal Counsel</t>
  </si>
  <si>
    <t>Total</t>
  </si>
  <si>
    <t>Hank Diesel</t>
  </si>
  <si>
    <t>Landman and Compliance</t>
  </si>
  <si>
    <t xml:space="preserve">Skyar Cotton </t>
  </si>
  <si>
    <t>Drilling Scheduling and Management</t>
  </si>
  <si>
    <t xml:space="preserve">Robert Jordon </t>
  </si>
  <si>
    <t xml:space="preserve">On site drilling and Completion Superintendent </t>
  </si>
  <si>
    <t>Adrian Garcia</t>
  </si>
  <si>
    <t>Geologist</t>
  </si>
  <si>
    <t xml:space="preserve">Paul Spear </t>
  </si>
  <si>
    <t>Geologist Arizona</t>
  </si>
  <si>
    <t>Orlo Ison</t>
  </si>
  <si>
    <t>Pumper/ Purchasing Manager</t>
  </si>
  <si>
    <t>Reds Welding and Roustabout</t>
  </si>
  <si>
    <t>Roustabout Manager</t>
  </si>
  <si>
    <t>Owen Diesel</t>
  </si>
  <si>
    <t xml:space="preserve">Pumper </t>
  </si>
  <si>
    <t>New Horizons (Information manager)</t>
  </si>
  <si>
    <t>Information Manager</t>
  </si>
  <si>
    <t>Pipeland Services</t>
  </si>
  <si>
    <t>Land &amp; Surface Owner, Local Authorities (County &amp; City Police) Relations</t>
  </si>
  <si>
    <t>Processing Production Equip,  Well and Lease audimation and reporting</t>
  </si>
  <si>
    <t>Office assistant/bookeeper</t>
  </si>
  <si>
    <t>Salaries</t>
  </si>
  <si>
    <t>Total Payroll</t>
  </si>
  <si>
    <t>Accounting Auditor</t>
  </si>
  <si>
    <t>Hydrogen Sales Contracts - Commissions</t>
  </si>
  <si>
    <t>Edelgas</t>
  </si>
  <si>
    <t>Gas Sales and Marketing Compliance</t>
  </si>
  <si>
    <t>Well Maintenance</t>
  </si>
  <si>
    <t>Operating cost for gas processing, electorlysis, and liquefaction</t>
  </si>
  <si>
    <t>Yard Fee Storeage</t>
  </si>
  <si>
    <t>Processing Equipment Operating  Costs</t>
  </si>
  <si>
    <t>Electricity is for the wells only and will be paid by Exodus Operating, LLC. The electricity for the gas processing, electrolyzer, and liquefaction plants will be generated by pressure turbines from the wells.</t>
  </si>
  <si>
    <t>DEPARTMENT OF ENERGY GUARANTEED LOAN</t>
  </si>
  <si>
    <t>Loan 1</t>
  </si>
  <si>
    <t>Annual Maintenance Fee</t>
  </si>
  <si>
    <t>7 Years</t>
  </si>
  <si>
    <t>Number of Payments</t>
  </si>
  <si>
    <t>Plant Loan 2</t>
  </si>
  <si>
    <t>Plant Loan 3</t>
  </si>
  <si>
    <t>Plant Loan 4</t>
  </si>
  <si>
    <t>Net Revenue to Innov8 Gas Corporation</t>
  </si>
  <si>
    <t>Recomplete Well 2-1 JV1A Well 2</t>
  </si>
  <si>
    <t xml:space="preserve">* 28 drilling sites have been identified on the JV2 and JV3 leases through BIOT-based Electro-Seismic as having sufficient Helium to be commercially viable. </t>
  </si>
  <si>
    <t>2 Drilled Wells</t>
  </si>
  <si>
    <t>BIOT Electro-Seismic Shots</t>
  </si>
  <si>
    <t>Estimated recoverable value of Innov8  Gases' Helium leases in the 26% area</t>
  </si>
  <si>
    <t>Innov8 Gases leases occupy 26% of  the total acreage of the report, and all Innov8 acres are in the "A" Drill Zone the report acreage</t>
  </si>
  <si>
    <r>
      <t>2.</t>
    </r>
    <r>
      <rPr>
        <b/>
        <sz val="7"/>
        <rFont val="Times New Roman"/>
        <family val="1"/>
      </rPr>
      <t>   </t>
    </r>
    <r>
      <rPr>
        <b/>
        <sz val="11"/>
        <rFont val="Times New Roman"/>
        <family val="1"/>
      </rPr>
      <t xml:space="preserve"> Report from</t>
    </r>
    <r>
      <rPr>
        <b/>
        <sz val="7"/>
        <rFont val="Times New Roman"/>
        <family val="1"/>
      </rPr>
      <t xml:space="preserve"> </t>
    </r>
    <r>
      <rPr>
        <b/>
        <sz val="11"/>
        <rFont val="Arial"/>
        <family val="2"/>
      </rPr>
      <t xml:space="preserve">Sproule ERCE Engineering has a 70 Year legacy spanning over 90 countries. </t>
    </r>
  </si>
  <si>
    <t>Wells 3, 4 &amp; 5 (El Paso)   $17,770,621</t>
  </si>
  <si>
    <t>*Assumes well flow at 1,250 Mcf/da. plus 448.5 Mcf of Hydrogen processed from well water at 347 days production per year</t>
  </si>
  <si>
    <t>U.S. Federal Gov't. payment for Hydrogen Production Tax Credits for Green Hydrogen</t>
  </si>
  <si>
    <t>Mfc/day Helium</t>
  </si>
  <si>
    <t>Innov8 Gases share of the JV Working Interest</t>
  </si>
  <si>
    <t>Royalty Percentage</t>
  </si>
  <si>
    <t>Recent long term off-take price agreement for Helium gas sale price on a Take or Pay contract Apache Country</t>
  </si>
  <si>
    <t>Royalty Percetnage</t>
  </si>
  <si>
    <t>Mcf/day Helium</t>
  </si>
  <si>
    <t xml:space="preserve">Exodus Operating, LLC is the 3rd party operator of the wells. InnoV8 Gases will pay Exodus Operating, which will be responsible for all of these payments. </t>
  </si>
  <si>
    <t>SEAWATER TO PRODUCE LIQUID CLEAN ("GREEN") HYDROGEN</t>
  </si>
  <si>
    <r>
      <t>H</t>
    </r>
    <r>
      <rPr>
        <b/>
        <vertAlign val="subscript"/>
        <sz val="11"/>
        <color theme="1"/>
        <rFont val="Calibri"/>
        <family val="2"/>
        <scheme val="minor"/>
      </rPr>
      <t>2</t>
    </r>
    <r>
      <rPr>
        <b/>
        <sz val="11"/>
        <color theme="1"/>
        <rFont val="Calibri"/>
        <family val="2"/>
        <scheme val="minor"/>
      </rPr>
      <t xml:space="preserve"> Electorlyzed Sales/Mo.</t>
    </r>
  </si>
  <si>
    <t>Overhead Expenses Innov8 Gases Corporation</t>
  </si>
  <si>
    <t>Plant Sukuk Investment Month 5</t>
  </si>
  <si>
    <t>Plant Loan Month 6</t>
  </si>
  <si>
    <t>Sukuk Investment &amp; Secured Notes</t>
  </si>
  <si>
    <t>Sukuk Investment &amp; Principal and Interest Payments on Secured Loans</t>
  </si>
  <si>
    <t xml:space="preserve">Based on $0.40/Cf well head offtake price </t>
  </si>
  <si>
    <t>Helium offtake agreement offer @ $400/Mcf</t>
  </si>
  <si>
    <t>Estimated reserves of Oil and Natrural Gas in Place are 1,675,060,287 of which 23% is estimated to be recoverable 690,847.400.  Using a normalized price per barrel of $65.00, the estimated recoverable oil is valued at $25,405,081,000.</t>
  </si>
  <si>
    <t>TOTAL UPSIDE RESERVES OF OIL</t>
  </si>
  <si>
    <t>Equipment Block Diagrams</t>
  </si>
  <si>
    <t>Gas flow diagrams from well through processing, liquefaction, and collection by the customer</t>
  </si>
  <si>
    <t>Field Operations - 3rd Party Exodus Operating, LLC</t>
  </si>
  <si>
    <t>Hydrogen offtake agreement offers @ $7,000/mt</t>
  </si>
  <si>
    <t>Innov8 Gases Corporation Equipment for Processing Gases</t>
  </si>
  <si>
    <r>
      <t>1.</t>
    </r>
    <r>
      <rPr>
        <b/>
        <sz val="7"/>
        <rFont val="Arial"/>
        <family val="2"/>
      </rPr>
      <t>  </t>
    </r>
    <r>
      <rPr>
        <b/>
        <sz val="11"/>
        <rFont val="Arial"/>
        <family val="2"/>
      </rPr>
      <t>  Sproule Geological Engineering Resource Report Summary (full report upon request)</t>
    </r>
  </si>
  <si>
    <r>
      <rPr>
        <b/>
        <vertAlign val="superscript"/>
        <sz val="11"/>
        <rFont val="Arial"/>
        <family val="2"/>
      </rPr>
      <t>A</t>
    </r>
    <r>
      <rPr>
        <b/>
        <sz val="11"/>
        <rFont val="Arial"/>
        <family val="2"/>
      </rPr>
      <t>. Innov8 Gases leases cover 26% of this area, but Innov8 does not intend to drill into the gas and oil formations. Leases for the oil and gas reserves may be sold at some time in the future.</t>
    </r>
  </si>
  <si>
    <r>
      <t xml:space="preserve">B. </t>
    </r>
    <r>
      <rPr>
        <b/>
        <sz val="11"/>
        <rFont val="Arial"/>
        <family val="2"/>
      </rPr>
      <t>The Sproule report does not include the other gases - Hydrogen, Nitrogen, CO</t>
    </r>
    <r>
      <rPr>
        <b/>
        <vertAlign val="subscript"/>
        <sz val="11"/>
        <rFont val="Arial"/>
        <family val="2"/>
      </rPr>
      <t>2</t>
    </r>
    <r>
      <rPr>
        <b/>
        <sz val="11"/>
        <rFont val="Arial"/>
        <family val="2"/>
      </rPr>
      <t>, Oxygen, Neon, and Argon or the waste water in the wells that will be used to produce Clean ("Green") Hydrogen.</t>
    </r>
  </si>
  <si>
    <t>D&amp;O, Liability, &amp; Umbrella Insurance Policies</t>
  </si>
  <si>
    <t>Completion and Production Engineer (To be hired)</t>
  </si>
  <si>
    <t>After 18 months, we are budgeting $450 per well per month for maintenance.</t>
  </si>
  <si>
    <t>A third-party will operating the processing units, electrolyzer, and liquefaction plant at a turnkey price of $0.55 per Mcf of gas and includes depreciation &amp; Maintenace.</t>
  </si>
  <si>
    <t>Innov8 Gases Corporation Authorization For Expenditure (AFE)</t>
  </si>
  <si>
    <r>
      <t>Monthly Net Revenue Interest per well from CO</t>
    </r>
    <r>
      <rPr>
        <b/>
        <vertAlign val="subscript"/>
        <sz val="12"/>
        <rFont val="Calibri"/>
        <family val="2"/>
        <scheme val="minor"/>
      </rPr>
      <t>2</t>
    </r>
    <r>
      <rPr>
        <b/>
        <sz val="12"/>
        <rFont val="Calibri"/>
        <family val="2"/>
        <scheme val="minor"/>
      </rPr>
      <t>,O</t>
    </r>
    <r>
      <rPr>
        <b/>
        <vertAlign val="subscript"/>
        <sz val="12"/>
        <rFont val="Calibri"/>
        <family val="2"/>
        <scheme val="minor"/>
      </rPr>
      <t>2</t>
    </r>
    <r>
      <rPr>
        <b/>
        <sz val="12"/>
        <rFont val="Calibri"/>
        <family val="2"/>
        <scheme val="minor"/>
      </rPr>
      <t>,Ln</t>
    </r>
    <r>
      <rPr>
        <b/>
        <vertAlign val="subscript"/>
        <sz val="12"/>
        <rFont val="Calibri"/>
        <family val="2"/>
        <scheme val="minor"/>
      </rPr>
      <t>2</t>
    </r>
    <r>
      <rPr>
        <b/>
        <sz val="12"/>
        <rFont val="Calibri"/>
        <family val="2"/>
        <scheme val="minor"/>
      </rPr>
      <t>,Ar,C</t>
    </r>
    <r>
      <rPr>
        <b/>
        <vertAlign val="subscript"/>
        <sz val="12"/>
        <rFont val="Calibri"/>
        <family val="2"/>
        <scheme val="minor"/>
      </rPr>
      <t>4</t>
    </r>
    <r>
      <rPr>
        <b/>
        <sz val="12"/>
        <rFont val="Calibri"/>
        <family val="2"/>
        <scheme val="minor"/>
      </rPr>
      <t>,C</t>
    </r>
    <r>
      <rPr>
        <b/>
        <vertAlign val="subscript"/>
        <sz val="12"/>
        <rFont val="Calibri"/>
        <family val="2"/>
        <scheme val="minor"/>
      </rPr>
      <t>2</t>
    </r>
    <r>
      <rPr>
        <b/>
        <sz val="12"/>
        <rFont val="Calibri"/>
        <family val="2"/>
        <scheme val="minor"/>
      </rPr>
      <t>H</t>
    </r>
    <r>
      <rPr>
        <b/>
        <vertAlign val="subscript"/>
        <sz val="12"/>
        <rFont val="Calibri"/>
        <family val="2"/>
        <scheme val="minor"/>
      </rPr>
      <t>6</t>
    </r>
  </si>
  <si>
    <t>Neon</t>
  </si>
  <si>
    <r>
      <t>Cost per Tonne of H</t>
    </r>
    <r>
      <rPr>
        <vertAlign val="subscript"/>
        <sz val="11"/>
        <color theme="1"/>
        <rFont val="Calibri"/>
        <family val="2"/>
        <scheme val="minor"/>
      </rPr>
      <t>2</t>
    </r>
  </si>
  <si>
    <r>
      <t>Gross Profit per mt of H</t>
    </r>
    <r>
      <rPr>
        <vertAlign val="subscript"/>
        <sz val="11"/>
        <color theme="1"/>
        <rFont val="Calibri"/>
        <family val="2"/>
        <scheme val="minor"/>
      </rPr>
      <t xml:space="preserve">2 </t>
    </r>
  </si>
  <si>
    <r>
      <t>Barrels of Seawater/MT H</t>
    </r>
    <r>
      <rPr>
        <vertAlign val="subscript"/>
        <sz val="11"/>
        <color theme="1"/>
        <rFont val="Calibri"/>
        <family val="2"/>
        <scheme val="minor"/>
      </rPr>
      <t>2</t>
    </r>
  </si>
  <si>
    <r>
      <t>Seawater for 24 MT/da H</t>
    </r>
    <r>
      <rPr>
        <vertAlign val="subscript"/>
        <sz val="11"/>
        <color theme="1"/>
        <rFont val="Calibri"/>
        <family val="2"/>
        <scheme val="minor"/>
      </rPr>
      <t>2</t>
    </r>
  </si>
  <si>
    <r>
      <t>Power Used per MT of H</t>
    </r>
    <r>
      <rPr>
        <vertAlign val="subscript"/>
        <sz val="11"/>
        <color theme="1"/>
        <rFont val="Calibri"/>
        <family val="2"/>
        <scheme val="minor"/>
      </rPr>
      <t>2</t>
    </r>
  </si>
  <si>
    <t xml:space="preserve">* Source: Verdicel </t>
  </si>
  <si>
    <t>Net Profit from Hydrogen/MT</t>
  </si>
  <si>
    <t>1.05 MT per day per well</t>
  </si>
  <si>
    <t>Hydrogen (H2) 5.25 MT/day building to 105 MT/da</t>
  </si>
  <si>
    <r>
      <t>Net Revenue  from CO</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2</t>
    </r>
    <r>
      <rPr>
        <b/>
        <sz val="12"/>
        <color theme="1"/>
        <rFont val="Calibri"/>
        <family val="2"/>
        <scheme val="minor"/>
      </rPr>
      <t>,Ne,Ln</t>
    </r>
    <r>
      <rPr>
        <b/>
        <vertAlign val="subscript"/>
        <sz val="12"/>
        <color theme="1"/>
        <rFont val="Calibri"/>
        <family val="2"/>
        <scheme val="minor"/>
      </rPr>
      <t>2</t>
    </r>
    <r>
      <rPr>
        <b/>
        <sz val="12"/>
        <color theme="1"/>
        <rFont val="Calibri"/>
        <family val="2"/>
        <scheme val="minor"/>
      </rPr>
      <t>,Ar,C</t>
    </r>
    <r>
      <rPr>
        <b/>
        <vertAlign val="subscript"/>
        <sz val="12"/>
        <color theme="1"/>
        <rFont val="Calibri"/>
        <family val="2"/>
        <scheme val="minor"/>
      </rPr>
      <t>4</t>
    </r>
    <r>
      <rPr>
        <b/>
        <sz val="12"/>
        <color theme="1"/>
        <rFont val="Calibri"/>
        <family val="2"/>
        <scheme val="minor"/>
      </rPr>
      <t>,C</t>
    </r>
    <r>
      <rPr>
        <b/>
        <vertAlign val="subscript"/>
        <sz val="12"/>
        <color theme="1"/>
        <rFont val="Calibri"/>
        <family val="2"/>
        <scheme val="minor"/>
      </rPr>
      <t>2</t>
    </r>
    <r>
      <rPr>
        <b/>
        <sz val="12"/>
        <color theme="1"/>
        <rFont val="Calibri"/>
        <family val="2"/>
        <scheme val="minor"/>
      </rPr>
      <t>H</t>
    </r>
    <r>
      <rPr>
        <b/>
        <vertAlign val="subscript"/>
        <sz val="12"/>
        <color theme="1"/>
        <rFont val="Calibri"/>
        <family val="2"/>
        <scheme val="minor"/>
      </rPr>
      <t>6</t>
    </r>
    <r>
      <rPr>
        <b/>
        <sz val="12"/>
        <color theme="1"/>
        <rFont val="Calibri"/>
        <family val="2"/>
        <scheme val="minor"/>
      </rPr>
      <t xml:space="preserve"> Net of Royalties &amp; Taxes</t>
    </r>
  </si>
  <si>
    <r>
      <t>Net Revenue from H</t>
    </r>
    <r>
      <rPr>
        <b/>
        <vertAlign val="subscript"/>
        <sz val="11"/>
        <color theme="1"/>
        <rFont val="Calibri"/>
        <family val="2"/>
        <scheme val="minor"/>
      </rPr>
      <t>2</t>
    </r>
    <r>
      <rPr>
        <b/>
        <sz val="11"/>
        <color theme="1"/>
        <rFont val="Calibri"/>
        <family val="2"/>
        <scheme val="minor"/>
      </rPr>
      <t xml:space="preserve"> (Net of Royalties &amp; Taxes)</t>
    </r>
  </si>
  <si>
    <r>
      <t>CH</t>
    </r>
    <r>
      <rPr>
        <b/>
        <vertAlign val="subscript"/>
        <sz val="11"/>
        <color theme="1"/>
        <rFont val="Calibri"/>
        <family val="2"/>
        <scheme val="minor"/>
      </rPr>
      <t>4</t>
    </r>
  </si>
  <si>
    <r>
      <t>C</t>
    </r>
    <r>
      <rPr>
        <b/>
        <vertAlign val="subscript"/>
        <sz val="11"/>
        <color theme="1"/>
        <rFont val="Calibri"/>
        <family val="2"/>
        <scheme val="minor"/>
      </rPr>
      <t>2</t>
    </r>
    <r>
      <rPr>
        <b/>
        <sz val="11"/>
        <color theme="1"/>
        <rFont val="Calibri"/>
        <family val="2"/>
        <scheme val="minor"/>
      </rPr>
      <t>H</t>
    </r>
    <r>
      <rPr>
        <b/>
        <vertAlign val="subscript"/>
        <sz val="11"/>
        <color theme="1"/>
        <rFont val="Calibri"/>
        <family val="2"/>
        <scheme val="minor"/>
      </rPr>
      <t>6</t>
    </r>
  </si>
  <si>
    <t>Totals Including H2 Production Tax Credits</t>
  </si>
  <si>
    <r>
      <t>H</t>
    </r>
    <r>
      <rPr>
        <b/>
        <vertAlign val="subscript"/>
        <sz val="12"/>
        <color theme="1"/>
        <rFont val="Calibri"/>
        <family val="2"/>
        <scheme val="minor"/>
      </rPr>
      <t>2</t>
    </r>
    <r>
      <rPr>
        <b/>
        <sz val="12"/>
        <color theme="1"/>
        <rFont val="Calibri"/>
        <family val="2"/>
        <scheme val="minor"/>
      </rPr>
      <t>(gas from wells),CO</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2</t>
    </r>
    <r>
      <rPr>
        <b/>
        <sz val="12"/>
        <color theme="1"/>
        <rFont val="Calibri"/>
        <family val="2"/>
        <scheme val="minor"/>
      </rPr>
      <t>,Ln</t>
    </r>
    <r>
      <rPr>
        <b/>
        <vertAlign val="subscript"/>
        <sz val="12"/>
        <color theme="1"/>
        <rFont val="Calibri"/>
        <family val="2"/>
        <scheme val="minor"/>
      </rPr>
      <t>2</t>
    </r>
    <r>
      <rPr>
        <b/>
        <sz val="12"/>
        <color theme="1"/>
        <rFont val="Calibri"/>
        <family val="2"/>
        <scheme val="minor"/>
      </rPr>
      <t>,Ne,Ar,C</t>
    </r>
    <r>
      <rPr>
        <b/>
        <vertAlign val="subscript"/>
        <sz val="12"/>
        <color theme="1"/>
        <rFont val="Calibri"/>
        <family val="2"/>
        <scheme val="minor"/>
      </rPr>
      <t>4,</t>
    </r>
    <r>
      <rPr>
        <b/>
        <sz val="12"/>
        <color theme="1"/>
        <rFont val="Calibri"/>
        <family val="2"/>
        <scheme val="minor"/>
      </rPr>
      <t>C</t>
    </r>
    <r>
      <rPr>
        <b/>
        <vertAlign val="subscript"/>
        <sz val="12"/>
        <color theme="1"/>
        <rFont val="Calibri"/>
        <family val="2"/>
        <scheme val="minor"/>
      </rPr>
      <t>2</t>
    </r>
    <r>
      <rPr>
        <b/>
        <sz val="12"/>
        <color theme="1"/>
        <rFont val="Calibri"/>
        <family val="2"/>
        <scheme val="minor"/>
      </rPr>
      <t>H</t>
    </r>
    <r>
      <rPr>
        <b/>
        <vertAlign val="subscript"/>
        <sz val="12"/>
        <color theme="1"/>
        <rFont val="Calibri"/>
        <family val="2"/>
        <scheme val="minor"/>
      </rPr>
      <t>6</t>
    </r>
  </si>
  <si>
    <t xml:space="preserve">* Intitial gas sales will be of the gaseous state until liquefaction plants can be built. Typical delivery and permitting should average 11 months from the date plants are ordered. </t>
  </si>
  <si>
    <t>CO (poison  gas -sequestered)</t>
  </si>
  <si>
    <t>New Drill 100% WI on JV3 High Creek Wells 6-10</t>
  </si>
  <si>
    <t>98% Pure Gas</t>
  </si>
  <si>
    <t>Liquefied</t>
  </si>
  <si>
    <t>All acres are drillable and have been surveyed using GeoEnhanced Technologies' Biot-Wave Electro 3-D Seisemic developed through seismologists at the California Institute of Technology (Cal Tech) and the Massachusettes Instutute of Technology (MIT).  This technology has been proven to be very accurate at locating hydrocarbons, helium, other gases, and fresh and salinated water as well as showing the permeability and porosity of the soil.</t>
  </si>
  <si>
    <t>Initial sales will be 98% pure Helium until the separation and liquefaction plants are running</t>
  </si>
  <si>
    <t>Contract price for 99.9999+% pure Helium with zero Argon</t>
  </si>
  <si>
    <t>98% Helium Gas</t>
  </si>
  <si>
    <t>Offering Expense Allowance</t>
  </si>
  <si>
    <t>Complete final purchases of Pina Dome and (Texas Leases)</t>
  </si>
  <si>
    <t>95% WI JV1A Wells, 3-5</t>
  </si>
  <si>
    <t>Helium Net Revenue (Net of Royalties &amp; Taxes)</t>
  </si>
  <si>
    <t>Cash on Hand before  Distributions</t>
  </si>
  <si>
    <t>LP Phase 1 -  38.4%</t>
  </si>
  <si>
    <t>GP Phase 1 -  9.6%</t>
  </si>
  <si>
    <t>GP Phase 2 -  38.4%</t>
  </si>
  <si>
    <t>LP Phase 3 -  20%</t>
  </si>
  <si>
    <t>GP Phase 3 -  28%</t>
  </si>
  <si>
    <t>LP Contributed Capital Balance Oustanding</t>
  </si>
  <si>
    <t>Phase Flag</t>
  </si>
  <si>
    <t>Total LP Hurdle Balance before Distributions</t>
  </si>
  <si>
    <t>LP Hurdle Remaining After LP Distributions</t>
  </si>
  <si>
    <t>Principal Compensating Balance and Final Balance</t>
  </si>
  <si>
    <t>Total LP Distributions Paid</t>
  </si>
  <si>
    <t>Cumulative LP Distributions Paid in Phase 1</t>
  </si>
  <si>
    <t>Total GP Deferred Distributions</t>
  </si>
  <si>
    <t>GP Deferred Distributions per Period</t>
  </si>
  <si>
    <t>GP Payment of Deferred Distributions</t>
  </si>
  <si>
    <t>Total GP Distributions</t>
  </si>
  <si>
    <t>Contract Payments on Sukuk Investmnet in Month 3</t>
  </si>
  <si>
    <t>Sukuk Payments and Debt Service Principal and Interest</t>
  </si>
  <si>
    <t xml:space="preserve">CASH FLOW from OPERATIONS </t>
  </si>
  <si>
    <t>Cash on Hand Before Sukuk, Principal and Interest, and Distribution Payments</t>
  </si>
  <si>
    <t>Monthly Investment and Principal Re-Paymenets</t>
  </si>
  <si>
    <r>
      <t>These gases (see Gases Calculation tab) include food-grade CO</t>
    </r>
    <r>
      <rPr>
        <vertAlign val="subscript"/>
        <sz val="11"/>
        <rFont val="Calibri"/>
        <family val="2"/>
      </rPr>
      <t>2</t>
    </r>
    <r>
      <rPr>
        <sz val="11"/>
        <rFont val="Calibri"/>
        <family val="2"/>
      </rPr>
      <t xml:space="preserve"> that may be sold in gas form, but we assume will be stored as gas until the liquefaction plants are in place in month 16. CO</t>
    </r>
    <r>
      <rPr>
        <vertAlign val="subscript"/>
        <sz val="11"/>
        <rFont val="Calibri"/>
        <family val="2"/>
      </rPr>
      <t>2</t>
    </r>
    <r>
      <rPr>
        <sz val="11"/>
        <rFont val="Calibri"/>
        <family val="2"/>
      </rPr>
      <t xml:space="preserve"> is eligible for $85/mt in Production Tax Credits. There may also be Clean Energy Generation credits available for replacing natural gas and coal generated electricity with nitrogen or renewable gases, but these have not been included in the projections.</t>
    </r>
  </si>
  <si>
    <t>Net Revenue after operating costs (gross margin) for Clean ("Green") Hydrogen from well waste-water and gas from wells net of Royalties and Excise taxes (multi-year offtake contracts at up to $12,000/mt availalble).  Production Tax Credits ("PTI") for producing Clean Hydrogen should add approximately $3,000/mt.  This Net Revenue is projected after accounting for the operating cost and depreciation of the equipment used to clean the well water, generate electricity from well gas pressure, and produce Clean Hydrogen through electrolysis and liquefaction.</t>
  </si>
  <si>
    <t xml:space="preserve">Gases or liquids processed, shipped, and billed in month 5 are collected in month 7. Therefore, there is an assumed 2 month lag from billing to collection. High Creek, LLC owns a 50% Working Interest ("W.I.") in the JV2 leases and has commitments for its share of the first 4 wells drilled and may fund its share of a 5th.  </t>
  </si>
  <si>
    <t xml:space="preserve">Cost for gas processing including depreciation of the processing equipment is $0.80/Mcf from the equipment engineer providing the equipment. Inov8 Gases Corp. will not be operating any of the gas processing equipment, electrolyzers, or liquefaction plants. The mamufacturer will be responsible for providing the operators. </t>
  </si>
  <si>
    <t>Fees for consulting and cusotom engineering for processing equipment.</t>
  </si>
  <si>
    <t>High Creek, LLC owns a 50% Working Intereset ("W.I.") in the JV2 leases but Is unlikely to fund its W.I. payments required to participate on more than 4 wells on its leases.</t>
  </si>
  <si>
    <t xml:space="preserve">There will be one gas separation unit and one electrolyzer and liquefaction plant for each 5 wells based on 1,250 Mcf/da of gas or more. The first complete set will cost ~$7 million more than subsequent units. </t>
  </si>
  <si>
    <t xml:space="preserve">***In the 52nd month, Innov8 Gases is projecting collections from 100 producing wells. </t>
  </si>
  <si>
    <r>
      <t>****Projections on the gas in the wells on the "Gases Calculation" tab are based on the results from the Concho Dome well.  The independent geologists consulted in the area believe that the pressure of wells will be on average 2,000 to 4,000 Mcf/da vs. the 1,250 Mcf used here. The proportion of the various gases in a particular well or formation will vary significantly in the JV2 and JV3 areas from the wells in the JV1A and JV2A wells. The JV2 and JV3 wells will likely show more Helium and Nitrogen but less CO</t>
    </r>
    <r>
      <rPr>
        <b/>
        <vertAlign val="subscript"/>
        <sz val="11"/>
        <rFont val="Calibri"/>
        <family val="2"/>
      </rPr>
      <t>2</t>
    </r>
    <r>
      <rPr>
        <b/>
        <sz val="11"/>
        <rFont val="Calibri"/>
        <family val="2"/>
      </rPr>
      <t xml:space="preserve">. </t>
    </r>
  </si>
  <si>
    <t>GeoScience on Concho Dome and Manuel Seep includes BIOT-based Electro-Seismic, Geo-Chem, 3D Seismic, etc. to determine the size of the reserves in the various zones and the perferred locations to perforate them.</t>
  </si>
  <si>
    <t>LP Phase 2 -  9.6%</t>
  </si>
  <si>
    <t xml:space="preserve">**There is an Arizona State Excise Tax of 3.75% on all Helium extracted. After this deduction, there is a 24% royalty interest on all wells. The royalties are paid to the land owners and Over Riding Royaty owners directly by the purchaser of the Innov8 gases or liquids with the balance (the working interest) sent to Innov8 Gases Corp.  As mentioned, the JV1B wells should show a 95% W.I. and the other wells a 100% W.I. with a few exceptions. </t>
  </si>
  <si>
    <t>Innov8 Gases will be completing the purchase of 25% of the W.I. in 2,600 acres and 50% W.I. in 14,325 acres in Pinta Dome from a current Working Interest holder and possibly acquiring ~14,000 acrees with 2 helium wells drilled  with using BIOT Electro-Seismic (with confirmed helium of up to 10% in one zone). The acreage is located  in the south end of the Permian Basin in Texas.</t>
  </si>
  <si>
    <t>For Secured Notes, interest will accrue at 8% for the first 24 months after each draw. A balloon interest payment is made on the second anniversary of each draw. The first balloon paymnet of interest in month 28 will be deducted from the cash balance before a dividend will be paid. Thereafter, the interest will be paid monthly and the principal will be amortized on the basis of a 60-month payback. However, at the end of Month 84, the principal of all loans to date will be repaid in full from the Cash on Hand - line 117.</t>
  </si>
  <si>
    <t>Less: 24% Royalties</t>
  </si>
  <si>
    <t>Long-term Contracts Available at $9,000 MT</t>
  </si>
  <si>
    <t>Cash Balance After Dividends and Sukuk and Debt Retired</t>
  </si>
  <si>
    <t>Hydrogen Revenue per Well</t>
  </si>
  <si>
    <t>Total Number of Producing Helium Wells</t>
  </si>
  <si>
    <t>DOUBLE CLICK ON THE DOCUMENT BELOW TO SCROLL THE VALUATION REPORT</t>
  </si>
  <si>
    <t>Residual Value after 7 Years</t>
  </si>
  <si>
    <t>Valuation of 100 producing wells and the present value of the remaining 3 zones that conforms to the Innov8 forecast model</t>
  </si>
  <si>
    <t>*****Most of the leased acreage has four producable zones.  Typically, Innov8 Gases will start producing from the deepest of the four zones, then move up when that zone is depleted. Wells in the Holbrook Basin is typically producting for 19 to 20 years.</t>
  </si>
  <si>
    <t>Wells 1 &amp; 2  (Henderson)     $18,815,458</t>
  </si>
  <si>
    <t>New Producing Helium Gas Wells</t>
  </si>
  <si>
    <t>Total Number of Producing  Other Gas Wells</t>
  </si>
  <si>
    <t>New Producing Other Gas Wells</t>
  </si>
  <si>
    <t>Investment Repayments Sukuk Investment Month 3</t>
  </si>
  <si>
    <t>Monthly Sukuk plus Debt Interest Payments</t>
  </si>
  <si>
    <t>LP Current Unpaid Interest Acrured This Month</t>
  </si>
  <si>
    <t>LP Current Unpaid Interest Accrued to Date</t>
  </si>
  <si>
    <t xml:space="preserve">The Sukuk investment or $125 million made in month 3, has a defined return of 9% per year. Payments will be accrued for 24 months when an equalizing balloon payment will be made.  This is a Shariah compliant investment. The actual $130 million debt actual financing will be paid at 9% intrerest, this will accrue for the first 2 years of each draw after which a balloon payment will pay the accured interest to date with monthly principal amortized over 5 years but paid in full at the end of the 7th year with a balloon payment of all outstanding principal. All debt and equity investments will be drawn as required. </t>
  </si>
  <si>
    <t>There will be no distribution to equity investors for the first 2 years of the program. Beginning in month 25 or year 3, Innov8 Resource will hold back 10% of the principal unpaid balance. In year 4, the helod back will be 30% of the principal. In year 5, 50% will be held back. In year 6, 70%, and for the final year, the balance of theiprincipal or 100% will be withheld from distributions. The Sukuk investment and principal of the debt will be repaid in full in month 84.</t>
  </si>
  <si>
    <t>Verdicel</t>
  </si>
  <si>
    <t>This is $0.80/Mcf or $28,917 per month based on a 5-well processing configuration at 1,250 Mcf/day/well and is paid to a 3rd party operator.</t>
  </si>
  <si>
    <t>84 Mo. Innov8 Gases Cash Flow 100 Wells $555 Million Total Capitalization</t>
  </si>
  <si>
    <t>Final Output - Pricing Cells C6-8 feed to all Sections: "JV Wells &amp; Production Schedules"</t>
  </si>
  <si>
    <t>Corporate Overhead and G&amp;A</t>
  </si>
  <si>
    <t>Field‑Level Operating Expenses</t>
  </si>
  <si>
    <t>Exodus Operating - Utilities for Wells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</si>
</sst>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8" formatCode="&quot;$&quot;#,##0.00_);[Red]\(&quot;$&quot;#,##0.00\)"/>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_(&quot;$&quot;* #,##0_);_(&quot;$&quot;* \(#,##0\);_(&quot;$&quot;* &quot;-&quot;?_);_(@_)"/>
    <numFmt numFmtId="167" formatCode="&quot;$&quot;#,##0"/>
    <numFmt numFmtId="168" formatCode="0.0%"/>
    <numFmt numFmtId="169" formatCode="_(* #,##0.0_);_(* \(#,##0.0\);_(* &quot;-&quot;??_);_(@_)"/>
    <numFmt numFmtId="170" formatCode="_(&quot;$&quot;* #,##0.0000_);_(&quot;$&quot;* \(#,##0.0000\);_(&quot;$&quot;* &quot;-&quot;??_);_(@_)"/>
    <numFmt numFmtId="171" formatCode="_(&quot;$&quot;* #,##0.000_);_(&quot;$&quot;* \(#,##0.000\);_(&quot;$&quot;* &quot;-&quot;??_);_(@_)"/>
    <numFmt numFmtId="172" formatCode="0.000%"/>
    <numFmt numFmtId="173" formatCode="&quot;$&quot;#,##0.00"/>
    <numFmt numFmtId="174" formatCode="0.0"/>
    <numFmt numFmtId="175" formatCode="_(* #,##0.000_);_(* \(#,##0.000\);_(* &quot;-&quot;??_);_(@_)"/>
    <numFmt numFmtId="176" formatCode="_(* #,##0.0000_);_(* \(#,##0.0000\);_(* &quot;-&quot;??_);_(@_)"/>
    <numFmt numFmtId="177" formatCode="_(* #,##0.000000_);_(* \(#,##0.000000\);_(* &quot;-&quot;??_);_(@_)"/>
    <numFmt numFmtId="178" formatCode="_(* #,##0.00000000000_);_(* \(#,##0.00000000000\);_(* &quot;-&quot;??_);_(@_)"/>
    <numFmt numFmtId="179" formatCode="_(&quot;$&quot;* #,##0.0000000000_);_(&quot;$&quot;* \(#,##0.0000000000\);_(&quot;$&quot;* &quot;-&quot;??_);_(@_)"/>
    <numFmt numFmtId="180" formatCode="_(* #,##0.0_);_(* \(#,##0.0\);_(* &quot;-&quot;?_);_(@_)"/>
  </numFmts>
  <fonts count="73" x14ac:knownFonts="1">
    <font>
      <sz val="11"/>
      <name val="Calibri"/>
      <scheme val="minor"/>
    </font>
    <font>
      <sz val="11"/>
      <color theme="1"/>
      <name val="Calibri"/>
      <family val="2"/>
      <scheme val="minor"/>
    </font>
    <font>
      <sz val="11"/>
      <color theme="1"/>
      <name val="Calibri"/>
      <family val="2"/>
      <scheme val="minor"/>
    </font>
    <font>
      <b/>
      <sz val="14"/>
      <color rgb="FFF2F2F2"/>
      <name val="Calibri"/>
      <family val="2"/>
    </font>
    <font>
      <sz val="14"/>
      <color rgb="FFF2F2F2"/>
      <name val="Calibri"/>
      <family val="2"/>
    </font>
    <font>
      <b/>
      <sz val="14"/>
      <name val="Calibri"/>
      <family val="2"/>
    </font>
    <font>
      <sz val="11"/>
      <name val="Calibri"/>
      <family val="2"/>
    </font>
    <font>
      <sz val="11"/>
      <name val="Calibri"/>
      <family val="2"/>
    </font>
    <font>
      <b/>
      <sz val="11"/>
      <name val="Calibri"/>
      <family val="2"/>
    </font>
    <font>
      <b/>
      <sz val="24"/>
      <name val="Calibri"/>
      <family val="2"/>
    </font>
    <font>
      <b/>
      <sz val="13"/>
      <color rgb="FFF2F2F2"/>
      <name val="Calibri"/>
      <family val="2"/>
    </font>
    <font>
      <b/>
      <sz val="12"/>
      <name val="Calibri"/>
      <family val="2"/>
    </font>
    <font>
      <sz val="12"/>
      <name val="Calibri"/>
      <family val="2"/>
    </font>
    <font>
      <sz val="11"/>
      <color rgb="FFF2F2F2"/>
      <name val="Calibri"/>
      <family val="2"/>
    </font>
    <font>
      <b/>
      <sz val="13"/>
      <name val="Calibri"/>
      <family val="2"/>
    </font>
    <font>
      <sz val="11"/>
      <name val="Calibri"/>
      <family val="2"/>
    </font>
    <font>
      <b/>
      <sz val="14"/>
      <color rgb="FFFF0000"/>
      <name val="Calibri"/>
      <family val="2"/>
    </font>
    <font>
      <sz val="14"/>
      <name val="Calibri"/>
      <family val="2"/>
    </font>
    <font>
      <b/>
      <sz val="12"/>
      <name val="Calibri"/>
      <family val="2"/>
    </font>
    <font>
      <b/>
      <sz val="11"/>
      <name val="Calibri"/>
      <family val="2"/>
    </font>
    <font>
      <b/>
      <i/>
      <sz val="11"/>
      <name val="Calibri"/>
      <family val="2"/>
    </font>
    <font>
      <b/>
      <sz val="10"/>
      <name val="Calibri"/>
      <family val="2"/>
    </font>
    <font>
      <b/>
      <sz val="11"/>
      <color rgb="FFFF0000"/>
      <name val="Calibri"/>
      <family val="2"/>
    </font>
    <font>
      <sz val="11"/>
      <color rgb="FFFF0000"/>
      <name val="Calibri"/>
      <family val="2"/>
    </font>
    <font>
      <b/>
      <sz val="11"/>
      <name val="Arial"/>
      <family val="2"/>
    </font>
    <font>
      <b/>
      <u/>
      <sz val="11"/>
      <name val="Arial"/>
      <family val="2"/>
    </font>
    <font>
      <b/>
      <sz val="16"/>
      <name val="Calibri"/>
      <family val="2"/>
    </font>
    <font>
      <b/>
      <sz val="14"/>
      <name val="Calibri"/>
      <family val="2"/>
    </font>
    <font>
      <sz val="12"/>
      <name val="Calibri"/>
      <family val="2"/>
    </font>
    <font>
      <b/>
      <sz val="12"/>
      <color rgb="FFFF0000"/>
      <name val="Calibri"/>
      <family val="2"/>
    </font>
    <font>
      <b/>
      <i/>
      <sz val="12"/>
      <name val="Calibri"/>
      <family val="2"/>
    </font>
    <font>
      <b/>
      <i/>
      <sz val="13"/>
      <name val="Calibri"/>
      <family val="2"/>
    </font>
    <font>
      <i/>
      <sz val="12"/>
      <name val="Calibri"/>
      <family val="2"/>
    </font>
    <font>
      <sz val="11"/>
      <color rgb="FFFFD965"/>
      <name val="Calibri"/>
      <family val="2"/>
    </font>
    <font>
      <b/>
      <sz val="16"/>
      <name val="Calibri"/>
      <family val="2"/>
    </font>
    <font>
      <b/>
      <sz val="7"/>
      <name val="Times New Roman"/>
      <family val="1"/>
    </font>
    <font>
      <b/>
      <sz val="11"/>
      <name val="Times New Roman"/>
      <family val="1"/>
    </font>
    <font>
      <b/>
      <vertAlign val="subscript"/>
      <sz val="11"/>
      <name val="Calibri"/>
      <family val="2"/>
    </font>
    <font>
      <b/>
      <sz val="11"/>
      <color theme="1"/>
      <name val="Calibri"/>
      <family val="2"/>
      <scheme val="minor"/>
    </font>
    <font>
      <b/>
      <vertAlign val="subscript"/>
      <sz val="11"/>
      <color theme="1"/>
      <name val="Calibri"/>
      <family val="2"/>
      <scheme val="minor"/>
    </font>
    <font>
      <b/>
      <sz val="12"/>
      <color theme="1"/>
      <name val="Calibri"/>
      <family val="2"/>
      <scheme val="minor"/>
    </font>
    <font>
      <vertAlign val="subscript"/>
      <sz val="11"/>
      <name val="Calibri"/>
      <family val="2"/>
    </font>
    <font>
      <sz val="11"/>
      <name val="Calibri"/>
      <family val="2"/>
    </font>
    <font>
      <b/>
      <sz val="11"/>
      <name val="Calibri"/>
      <family val="2"/>
    </font>
    <font>
      <sz val="11"/>
      <name val="Calibri"/>
      <family val="2"/>
      <scheme val="minor"/>
    </font>
    <font>
      <b/>
      <sz val="11"/>
      <name val="Calibri"/>
      <family val="2"/>
      <scheme val="minor"/>
    </font>
    <font>
      <b/>
      <sz val="12"/>
      <name val="Calibri"/>
      <family val="2"/>
    </font>
    <font>
      <b/>
      <vertAlign val="subscript"/>
      <sz val="11"/>
      <name val="Arial"/>
      <family val="2"/>
    </font>
    <font>
      <b/>
      <vertAlign val="superscript"/>
      <sz val="11"/>
      <name val="Arial"/>
      <family val="2"/>
    </font>
    <font>
      <b/>
      <sz val="11"/>
      <name val="Arial"/>
      <family val="2"/>
    </font>
    <font>
      <sz val="11"/>
      <name val="Calibri"/>
      <family val="2"/>
      <scheme val="minor"/>
    </font>
    <font>
      <b/>
      <sz val="14"/>
      <color theme="1"/>
      <name val="Calibri"/>
      <family val="2"/>
      <scheme val="minor"/>
    </font>
    <font>
      <sz val="14"/>
      <color rgb="FFFF0000"/>
      <name val="Calibri"/>
      <family val="2"/>
    </font>
    <font>
      <b/>
      <sz val="7"/>
      <name val="Arial"/>
      <family val="2"/>
    </font>
    <font>
      <sz val="11"/>
      <name val="Calibri"/>
      <family val="2"/>
      <scheme val="minor"/>
    </font>
    <font>
      <b/>
      <sz val="14"/>
      <color theme="0" tint="-4.9989318521683403E-2"/>
      <name val="Calibri"/>
      <family val="2"/>
      <scheme val="minor"/>
    </font>
    <font>
      <b/>
      <sz val="12"/>
      <name val="Calibri"/>
      <family val="2"/>
      <scheme val="minor"/>
    </font>
    <font>
      <b/>
      <vertAlign val="subscript"/>
      <sz val="12"/>
      <name val="Calibri"/>
      <family val="2"/>
      <scheme val="minor"/>
    </font>
    <font>
      <vertAlign val="subscript"/>
      <sz val="11"/>
      <color theme="1"/>
      <name val="Calibri"/>
      <family val="2"/>
      <scheme val="minor"/>
    </font>
    <font>
      <b/>
      <sz val="11"/>
      <color rgb="FFFF0000"/>
      <name val="Calibri"/>
      <family val="2"/>
      <scheme val="minor"/>
    </font>
    <font>
      <sz val="11"/>
      <color rgb="FF000000"/>
      <name val="Calibri"/>
      <family val="2"/>
    </font>
    <font>
      <b/>
      <vertAlign val="subscript"/>
      <sz val="12"/>
      <color theme="1"/>
      <name val="Calibri"/>
      <family val="2"/>
      <scheme val="minor"/>
    </font>
    <font>
      <sz val="12"/>
      <color theme="1"/>
      <name val="Calibri"/>
      <family val="2"/>
      <scheme val="minor"/>
    </font>
    <font>
      <sz val="12"/>
      <color rgb="FF000000"/>
      <name val="Calibri"/>
      <family val="2"/>
    </font>
    <font>
      <sz val="11"/>
      <color rgb="FF3F3B35"/>
      <name val="Courier New"/>
      <family val="3"/>
    </font>
    <font>
      <sz val="11"/>
      <color rgb="FF3F3B35"/>
      <name val="Calibri"/>
      <family val="2"/>
      <scheme val="minor"/>
    </font>
    <font>
      <sz val="11"/>
      <color rgb="FF27251E"/>
      <name val="Calibri"/>
      <family val="2"/>
      <scheme val="minor"/>
    </font>
    <font>
      <sz val="11"/>
      <name val="Calibri"/>
      <family val="2"/>
    </font>
    <font>
      <b/>
      <sz val="11"/>
      <color rgb="FF27251E"/>
      <name val="Calibri"/>
      <family val="2"/>
      <scheme val="minor"/>
    </font>
    <font>
      <sz val="11"/>
      <color rgb="FF27251E"/>
      <name val="Calibri"/>
      <family val="2"/>
      <scheme val="minor"/>
    </font>
    <font>
      <b/>
      <sz val="11"/>
      <color rgb="FF000000"/>
      <name val="Calibri"/>
      <family val="2"/>
    </font>
    <font>
      <b/>
      <sz val="14"/>
      <name val="Calibri"/>
      <family val="2"/>
      <scheme val="minor"/>
    </font>
    <font>
      <b/>
      <sz val="11"/>
      <color rgb="FF3F3B35"/>
      <name val="Courier New"/>
      <family val="3"/>
    </font>
  </fonts>
  <fills count="45">
    <fill>
      <patternFill patternType="none"/>
    </fill>
    <fill>
      <patternFill patternType="gray125"/>
    </fill>
    <fill>
      <patternFill patternType="solid">
        <fgColor rgb="FF2F5496"/>
        <bgColor rgb="FF2F5496"/>
      </patternFill>
    </fill>
    <fill>
      <patternFill patternType="solid">
        <fgColor rgb="FFE2EFD9"/>
        <bgColor rgb="FFE2EFD9"/>
      </patternFill>
    </fill>
    <fill>
      <patternFill patternType="solid">
        <fgColor rgb="FFDEEAF6"/>
        <bgColor rgb="FFDEEAF6"/>
      </patternFill>
    </fill>
    <fill>
      <patternFill patternType="solid">
        <fgColor rgb="FFFF0000"/>
        <bgColor rgb="FFFF0000"/>
      </patternFill>
    </fill>
    <fill>
      <patternFill patternType="solid">
        <fgColor rgb="FF385623"/>
        <bgColor rgb="FF385623"/>
      </patternFill>
    </fill>
    <fill>
      <patternFill patternType="solid">
        <fgColor rgb="FFC55A11"/>
        <bgColor rgb="FFC55A11"/>
      </patternFill>
    </fill>
    <fill>
      <patternFill patternType="solid">
        <fgColor rgb="FFFFFF00"/>
        <bgColor rgb="FFFFFF00"/>
      </patternFill>
    </fill>
    <fill>
      <patternFill patternType="solid">
        <fgColor rgb="FF7030A0"/>
        <bgColor rgb="FF7030A0"/>
      </patternFill>
    </fill>
    <fill>
      <patternFill patternType="solid">
        <fgColor rgb="FFF2D1EF"/>
        <bgColor rgb="FFF2D1EF"/>
      </patternFill>
    </fill>
    <fill>
      <patternFill patternType="solid">
        <fgColor rgb="FF0070C0"/>
        <bgColor rgb="FF0070C0"/>
      </patternFill>
    </fill>
    <fill>
      <patternFill patternType="solid">
        <fgColor rgb="FFCFEDFD"/>
        <bgColor rgb="FFCFEDFD"/>
      </patternFill>
    </fill>
    <fill>
      <patternFill patternType="solid">
        <fgColor rgb="FFF7C7AC"/>
        <bgColor rgb="FFF7C7AC"/>
      </patternFill>
    </fill>
    <fill>
      <patternFill patternType="solid">
        <fgColor rgb="FF92D050"/>
        <bgColor rgb="FF92D050"/>
      </patternFill>
    </fill>
    <fill>
      <patternFill patternType="solid">
        <fgColor rgb="FFFF99CC"/>
        <bgColor rgb="FFFF99CC"/>
      </patternFill>
    </fill>
    <fill>
      <patternFill patternType="solid">
        <fgColor rgb="FF33CC33"/>
        <bgColor rgb="FF33CC33"/>
      </patternFill>
    </fill>
    <fill>
      <patternFill patternType="solid">
        <fgColor rgb="FFCC99FF"/>
        <bgColor rgb="FFCC99FF"/>
      </patternFill>
    </fill>
    <fill>
      <patternFill patternType="solid">
        <fgColor rgb="FFD8D8D8"/>
        <bgColor rgb="FFD8D8D8"/>
      </patternFill>
    </fill>
    <fill>
      <patternFill patternType="solid">
        <fgColor rgb="FFC5E0B3"/>
        <bgColor rgb="FFC5E0B3"/>
      </patternFill>
    </fill>
    <fill>
      <patternFill patternType="solid">
        <fgColor rgb="FFBFBFBF"/>
        <bgColor rgb="FFBFBFBF"/>
      </patternFill>
    </fill>
    <fill>
      <patternFill patternType="solid">
        <fgColor rgb="FF657C9C"/>
        <bgColor rgb="FF657C9C"/>
      </patternFill>
    </fill>
    <fill>
      <patternFill patternType="solid">
        <fgColor rgb="FFCBD3DE"/>
        <bgColor rgb="FFCBD3DE"/>
      </patternFill>
    </fill>
    <fill>
      <patternFill patternType="solid">
        <fgColor rgb="FFB4C6E7"/>
        <bgColor rgb="FFB4C6E7"/>
      </patternFill>
    </fill>
    <fill>
      <patternFill patternType="solid">
        <fgColor rgb="FFFEF2CB"/>
        <bgColor rgb="FFFEF2CB"/>
      </patternFill>
    </fill>
    <fill>
      <patternFill patternType="solid">
        <fgColor rgb="FF9CC2E5"/>
        <bgColor rgb="FF9CC2E5"/>
      </patternFill>
    </fill>
    <fill>
      <patternFill patternType="solid">
        <fgColor rgb="FFEAEDF1"/>
        <bgColor rgb="FFEAEDF1"/>
      </patternFill>
    </fill>
    <fill>
      <patternFill patternType="solid">
        <fgColor rgb="FFBDD6EE"/>
        <bgColor rgb="FFBDD6EE"/>
      </patternFill>
    </fill>
    <fill>
      <patternFill patternType="solid">
        <fgColor rgb="FFD9E2F3"/>
        <bgColor rgb="FFD9E2F3"/>
      </patternFill>
    </fill>
    <fill>
      <patternFill patternType="solid">
        <fgColor rgb="FFFFFFFF"/>
        <bgColor rgb="FFFFFFFF"/>
      </patternFill>
    </fill>
    <fill>
      <patternFill patternType="solid">
        <fgColor rgb="FFFFE598"/>
        <bgColor rgb="FFFFE598"/>
      </patternFill>
    </fill>
    <fill>
      <patternFill patternType="solid">
        <fgColor rgb="FFFFCCFF"/>
        <bgColor rgb="FFFFCCFF"/>
      </patternFill>
    </fill>
    <fill>
      <patternFill patternType="solid">
        <fgColor theme="8" tint="0.39997558519241921"/>
        <bgColor indexed="64"/>
      </patternFill>
    </fill>
    <fill>
      <patternFill patternType="solid">
        <fgColor rgb="FFFFCCFF"/>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3" tint="0.249977111117893"/>
        <bgColor indexed="64"/>
      </patternFill>
    </fill>
    <fill>
      <patternFill patternType="solid">
        <fgColor rgb="FFFF99CC"/>
        <bgColor indexed="64"/>
      </patternFill>
    </fill>
    <fill>
      <patternFill patternType="solid">
        <fgColor theme="3" tint="0.89999084444715716"/>
        <bgColor indexed="64"/>
      </patternFill>
    </fill>
    <fill>
      <patternFill patternType="solid">
        <fgColor theme="0" tint="-0.249977111117893"/>
        <bgColor indexed="64"/>
      </patternFill>
    </fill>
    <fill>
      <patternFill patternType="solid">
        <fgColor rgb="FFCFEDFD"/>
        <bgColor indexed="64"/>
      </patternFill>
    </fill>
    <fill>
      <patternFill patternType="solid">
        <fgColor rgb="FFE2EFDA"/>
        <bgColor rgb="FF000000"/>
      </patternFill>
    </fill>
    <fill>
      <patternFill patternType="solid">
        <fgColor rgb="FFEBEEF1"/>
        <bgColor rgb="FF000000"/>
      </patternFill>
    </fill>
    <fill>
      <patternFill patternType="solid">
        <fgColor rgb="FFBFBFBF"/>
        <bgColor rgb="FF000000"/>
      </patternFill>
    </fill>
    <fill>
      <patternFill patternType="solid">
        <fgColor theme="2"/>
        <bgColor indexed="64"/>
      </patternFill>
    </fill>
  </fills>
  <borders count="117">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medium">
        <color rgb="FF000000"/>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medium">
        <color rgb="FF000000"/>
      </right>
      <top/>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style="thin">
        <color rgb="FF000000"/>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medium">
        <color rgb="FF000000"/>
      </right>
      <top style="medium">
        <color rgb="FF000000"/>
      </top>
      <bottom/>
      <diagonal/>
    </border>
    <border>
      <left/>
      <right style="medium">
        <color rgb="FF000000"/>
      </right>
      <top/>
      <bottom style="medium">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right style="thin">
        <color rgb="FF000000"/>
      </right>
      <top/>
      <bottom/>
      <diagonal/>
    </border>
    <border>
      <left style="medium">
        <color rgb="FF000000"/>
      </left>
      <right/>
      <top style="medium">
        <color rgb="FF000000"/>
      </top>
      <bottom/>
      <diagonal/>
    </border>
    <border>
      <left style="thin">
        <color rgb="FF000000"/>
      </left>
      <right style="thin">
        <color rgb="FF000000"/>
      </right>
      <top style="thin">
        <color rgb="FF000000"/>
      </top>
      <bottom/>
      <diagonal/>
    </border>
    <border>
      <left style="thin">
        <color rgb="FF000000"/>
      </left>
      <right style="thin">
        <color indexed="64"/>
      </right>
      <top style="thin">
        <color rgb="FF000000"/>
      </top>
      <bottom style="thin">
        <color rgb="FF000000"/>
      </bottom>
      <diagonal/>
    </border>
    <border>
      <left style="thin">
        <color indexed="64"/>
      </left>
      <right/>
      <top/>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rgb="FF000000"/>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style="medium">
        <color rgb="FF000000"/>
      </top>
      <bottom style="medium">
        <color indexed="64"/>
      </bottom>
      <diagonal/>
    </border>
    <border>
      <left style="thin">
        <color indexed="64"/>
      </left>
      <right/>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auto="1"/>
      </right>
      <top/>
      <bottom/>
      <diagonal/>
    </border>
    <border>
      <left style="thin">
        <color indexed="64"/>
      </left>
      <right/>
      <top style="thin">
        <color indexed="64"/>
      </top>
      <bottom/>
      <diagonal/>
    </border>
    <border>
      <left style="medium">
        <color indexed="64"/>
      </left>
      <right/>
      <top style="thin">
        <color indexed="64"/>
      </top>
      <bottom/>
      <diagonal/>
    </border>
    <border>
      <left style="thin">
        <color auto="1"/>
      </left>
      <right style="thin">
        <color auto="1"/>
      </right>
      <top/>
      <bottom style="medium">
        <color indexed="64"/>
      </bottom>
      <diagonal/>
    </border>
    <border>
      <left style="thin">
        <color auto="1"/>
      </left>
      <right/>
      <top style="thin">
        <color auto="1"/>
      </top>
      <bottom style="thin">
        <color auto="1"/>
      </bottom>
      <diagonal/>
    </border>
  </borders>
  <cellStyleXfs count="4">
    <xf numFmtId="0" fontId="0" fillId="0" borderId="0"/>
    <xf numFmtId="44" fontId="50" fillId="0" borderId="0" applyFont="0" applyFill="0" applyBorder="0" applyAlignment="0" applyProtection="0"/>
    <xf numFmtId="43" fontId="54" fillId="0" borderId="0" applyFont="0" applyFill="0" applyBorder="0" applyAlignment="0" applyProtection="0"/>
    <xf numFmtId="9" fontId="54" fillId="0" borderId="0" applyFont="0" applyFill="0" applyBorder="0" applyAlignment="0" applyProtection="0"/>
  </cellStyleXfs>
  <cellXfs count="671">
    <xf numFmtId="0" fontId="0" fillId="0" borderId="0" xfId="0"/>
    <xf numFmtId="0" fontId="3" fillId="2" borderId="1" xfId="0" applyFont="1" applyFill="1" applyBorder="1"/>
    <xf numFmtId="0" fontId="4" fillId="2" borderId="2" xfId="0" applyFont="1" applyFill="1" applyBorder="1"/>
    <xf numFmtId="0" fontId="5" fillId="3"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6" fillId="3" borderId="3" xfId="0" applyFont="1" applyFill="1" applyBorder="1"/>
    <xf numFmtId="0" fontId="3" fillId="2" borderId="4" xfId="0" applyFont="1" applyFill="1" applyBorder="1"/>
    <xf numFmtId="0" fontId="4" fillId="2" borderId="5" xfId="0" applyFont="1" applyFill="1" applyBorder="1"/>
    <xf numFmtId="0" fontId="6" fillId="3" borderId="4" xfId="0" applyFont="1" applyFill="1" applyBorder="1"/>
    <xf numFmtId="0" fontId="6" fillId="3" borderId="5" xfId="0" applyFont="1" applyFill="1" applyBorder="1"/>
    <xf numFmtId="0" fontId="6" fillId="3" borderId="6" xfId="0" applyFont="1" applyFill="1" applyBorder="1"/>
    <xf numFmtId="0" fontId="6" fillId="0" borderId="0" xfId="0" applyFont="1"/>
    <xf numFmtId="0" fontId="5" fillId="3" borderId="4" xfId="0" applyFont="1" applyFill="1" applyBorder="1" applyAlignment="1">
      <alignment horizontal="center" vertical="center" wrapText="1"/>
    </xf>
    <xf numFmtId="0" fontId="5" fillId="0" borderId="0" xfId="0" applyFont="1" applyAlignment="1">
      <alignment vertical="center" wrapText="1"/>
    </xf>
    <xf numFmtId="0" fontId="4" fillId="2" borderId="4" xfId="0" applyFont="1" applyFill="1" applyBorder="1"/>
    <xf numFmtId="0" fontId="8" fillId="3" borderId="4" xfId="0" applyFont="1" applyFill="1" applyBorder="1" applyAlignment="1">
      <alignment horizontal="center"/>
    </xf>
    <xf numFmtId="0" fontId="8" fillId="3" borderId="5" xfId="0" applyFont="1" applyFill="1" applyBorder="1"/>
    <xf numFmtId="0" fontId="3" fillId="2" borderId="9" xfId="0" applyFont="1" applyFill="1" applyBorder="1"/>
    <xf numFmtId="0" fontId="4" fillId="2" borderId="10" xfId="0" applyFont="1" applyFill="1" applyBorder="1"/>
    <xf numFmtId="15" fontId="5" fillId="3" borderId="5" xfId="0" applyNumberFormat="1"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11" xfId="0" applyFont="1" applyFill="1" applyBorder="1"/>
    <xf numFmtId="0" fontId="5" fillId="0" borderId="0" xfId="0" applyFont="1" applyAlignment="1">
      <alignment horizontal="center" vertical="center" wrapText="1"/>
    </xf>
    <xf numFmtId="0" fontId="8" fillId="0" borderId="0" xfId="0" applyFont="1"/>
    <xf numFmtId="0" fontId="10" fillId="5" borderId="15" xfId="0" applyFont="1" applyFill="1" applyBorder="1" applyAlignment="1">
      <alignment vertical="center"/>
    </xf>
    <xf numFmtId="0" fontId="6" fillId="0" borderId="15" xfId="0" applyFont="1" applyBorder="1"/>
    <xf numFmtId="0" fontId="11" fillId="0" borderId="15" xfId="0" applyFont="1" applyBorder="1" applyAlignment="1">
      <alignment horizontal="center" vertical="center" wrapText="1"/>
    </xf>
    <xf numFmtId="0" fontId="11" fillId="0" borderId="15" xfId="0" applyFont="1" applyBorder="1" applyAlignment="1">
      <alignment vertical="center" wrapText="1"/>
    </xf>
    <xf numFmtId="0" fontId="12" fillId="0" borderId="15" xfId="0" applyFont="1" applyBorder="1" applyAlignment="1">
      <alignment vertical="center" wrapText="1"/>
    </xf>
    <xf numFmtId="0" fontId="12" fillId="0" borderId="15" xfId="0" applyFont="1" applyBorder="1" applyAlignment="1">
      <alignment horizontal="center" vertical="center" wrapText="1"/>
    </xf>
    <xf numFmtId="0" fontId="13" fillId="0" borderId="15" xfId="0" applyFont="1" applyBorder="1"/>
    <xf numFmtId="0" fontId="10" fillId="6" borderId="15" xfId="0" applyFont="1" applyFill="1" applyBorder="1" applyAlignment="1">
      <alignment vertical="center"/>
    </xf>
    <xf numFmtId="0" fontId="10" fillId="7" borderId="15" xfId="0" applyFont="1" applyFill="1" applyBorder="1" applyAlignment="1">
      <alignment vertical="center"/>
    </xf>
    <xf numFmtId="0" fontId="14" fillId="8" borderId="15" xfId="0" applyFont="1" applyFill="1" applyBorder="1" applyAlignment="1">
      <alignment vertical="center"/>
    </xf>
    <xf numFmtId="0" fontId="8" fillId="0" borderId="15" xfId="0" applyFont="1" applyBorder="1" applyAlignment="1">
      <alignment horizontal="center" vertical="center" wrapText="1"/>
    </xf>
    <xf numFmtId="0" fontId="10" fillId="9" borderId="15" xfId="0" applyFont="1" applyFill="1" applyBorder="1" applyAlignment="1">
      <alignment vertical="center"/>
    </xf>
    <xf numFmtId="0" fontId="8" fillId="0" borderId="0" xfId="0" applyFont="1" applyAlignment="1">
      <alignment horizontal="center" vertical="center"/>
    </xf>
    <xf numFmtId="164" fontId="6" fillId="0" borderId="0" xfId="0" applyNumberFormat="1" applyFont="1"/>
    <xf numFmtId="165" fontId="6" fillId="0" borderId="0" xfId="0" applyNumberFormat="1" applyFont="1"/>
    <xf numFmtId="0" fontId="8" fillId="10" borderId="9" xfId="0" applyFont="1" applyFill="1" applyBorder="1"/>
    <xf numFmtId="0" fontId="8" fillId="11" borderId="2" xfId="0" applyFont="1" applyFill="1" applyBorder="1"/>
    <xf numFmtId="9" fontId="8" fillId="11" borderId="2" xfId="0" applyNumberFormat="1" applyFont="1" applyFill="1" applyBorder="1" applyAlignment="1">
      <alignment horizontal="center"/>
    </xf>
    <xf numFmtId="0" fontId="8" fillId="11" borderId="2" xfId="0" applyFont="1" applyFill="1" applyBorder="1" applyAlignment="1">
      <alignment horizontal="center"/>
    </xf>
    <xf numFmtId="165" fontId="15" fillId="0" borderId="0" xfId="0" applyNumberFormat="1" applyFont="1"/>
    <xf numFmtId="166" fontId="6" fillId="0" borderId="0" xfId="0" applyNumberFormat="1" applyFont="1"/>
    <xf numFmtId="0" fontId="8" fillId="11" borderId="5" xfId="0" applyFont="1" applyFill="1" applyBorder="1"/>
    <xf numFmtId="9" fontId="8" fillId="11" borderId="5" xfId="0" applyNumberFormat="1" applyFont="1" applyFill="1" applyBorder="1" applyAlignment="1">
      <alignment horizontal="center"/>
    </xf>
    <xf numFmtId="0" fontId="8" fillId="11" borderId="5" xfId="0" applyFont="1" applyFill="1" applyBorder="1" applyAlignment="1">
      <alignment horizontal="center"/>
    </xf>
    <xf numFmtId="165" fontId="8" fillId="0" borderId="0" xfId="0" applyNumberFormat="1" applyFont="1"/>
    <xf numFmtId="0" fontId="5" fillId="0" borderId="0" xfId="0" applyFont="1" applyAlignment="1">
      <alignment horizontal="center" vertical="center"/>
    </xf>
    <xf numFmtId="0" fontId="11" fillId="12" borderId="16" xfId="0" applyFont="1" applyFill="1" applyBorder="1" applyAlignment="1">
      <alignment horizontal="right"/>
    </xf>
    <xf numFmtId="10" fontId="11" fillId="12" borderId="17" xfId="0" applyNumberFormat="1" applyFont="1" applyFill="1" applyBorder="1" applyAlignment="1">
      <alignment horizontal="right"/>
    </xf>
    <xf numFmtId="164" fontId="11" fillId="12" borderId="16" xfId="0" applyNumberFormat="1" applyFont="1" applyFill="1" applyBorder="1" applyAlignment="1">
      <alignment horizontal="right"/>
    </xf>
    <xf numFmtId="0" fontId="17" fillId="0" borderId="0" xfId="0" applyFont="1"/>
    <xf numFmtId="0" fontId="5" fillId="0" borderId="0" xfId="0" applyFont="1"/>
    <xf numFmtId="164" fontId="17" fillId="0" borderId="0" xfId="0" applyNumberFormat="1" applyFont="1"/>
    <xf numFmtId="165" fontId="5" fillId="0" borderId="0" xfId="0" applyNumberFormat="1" applyFont="1"/>
    <xf numFmtId="0" fontId="11" fillId="13" borderId="18" xfId="0" applyFont="1" applyFill="1" applyBorder="1" applyAlignment="1">
      <alignment horizontal="right"/>
    </xf>
    <xf numFmtId="167" fontId="11" fillId="13" borderId="19" xfId="0" applyNumberFormat="1" applyFont="1" applyFill="1" applyBorder="1"/>
    <xf numFmtId="9" fontId="11" fillId="13" borderId="19" xfId="0" applyNumberFormat="1" applyFont="1" applyFill="1" applyBorder="1"/>
    <xf numFmtId="167" fontId="18" fillId="14" borderId="17" xfId="0" applyNumberFormat="1" applyFont="1" applyFill="1" applyBorder="1" applyAlignment="1">
      <alignment horizontal="right"/>
    </xf>
    <xf numFmtId="9" fontId="18" fillId="14" borderId="16" xfId="0" applyNumberFormat="1" applyFont="1" applyFill="1" applyBorder="1" applyAlignment="1">
      <alignment horizontal="right"/>
    </xf>
    <xf numFmtId="167" fontId="18" fillId="15" borderId="21" xfId="0" applyNumberFormat="1" applyFont="1" applyFill="1" applyBorder="1" applyAlignment="1">
      <alignment horizontal="right"/>
    </xf>
    <xf numFmtId="9" fontId="18" fillId="15" borderId="20" xfId="0" applyNumberFormat="1" applyFont="1" applyFill="1" applyBorder="1" applyAlignment="1">
      <alignment horizontal="right"/>
    </xf>
    <xf numFmtId="0" fontId="17" fillId="0" borderId="0" xfId="0" applyFont="1" applyAlignment="1">
      <alignment horizontal="center"/>
    </xf>
    <xf numFmtId="0" fontId="5" fillId="0" borderId="0" xfId="0" applyFont="1" applyAlignment="1">
      <alignment horizontal="center"/>
    </xf>
    <xf numFmtId="0" fontId="16" fillId="0" borderId="0" xfId="0" applyFont="1" applyAlignment="1">
      <alignment horizontal="left"/>
    </xf>
    <xf numFmtId="167" fontId="19" fillId="0" borderId="0" xfId="0" applyNumberFormat="1" applyFont="1" applyAlignment="1">
      <alignment horizontal="right"/>
    </xf>
    <xf numFmtId="9" fontId="19" fillId="0" borderId="0" xfId="0" applyNumberFormat="1" applyFont="1" applyAlignment="1">
      <alignment horizontal="right"/>
    </xf>
    <xf numFmtId="0" fontId="6" fillId="0" borderId="0" xfId="0" applyFont="1" applyAlignment="1">
      <alignment horizontal="center"/>
    </xf>
    <xf numFmtId="0" fontId="8" fillId="0" borderId="0" xfId="0" applyFont="1" applyAlignment="1">
      <alignment horizontal="center"/>
    </xf>
    <xf numFmtId="165" fontId="6" fillId="0" borderId="0" xfId="0" applyNumberFormat="1" applyFont="1" applyAlignment="1">
      <alignment horizontal="center"/>
    </xf>
    <xf numFmtId="0" fontId="16" fillId="0" borderId="0" xfId="0" applyFont="1"/>
    <xf numFmtId="0" fontId="19" fillId="16" borderId="5" xfId="0" applyFont="1" applyFill="1" applyBorder="1" applyAlignment="1">
      <alignment horizontal="right"/>
    </xf>
    <xf numFmtId="0" fontId="19" fillId="16" borderId="5" xfId="0" applyFont="1" applyFill="1" applyBorder="1" applyAlignment="1">
      <alignment horizontal="center"/>
    </xf>
    <xf numFmtId="165" fontId="19" fillId="16" borderId="5" xfId="0" applyNumberFormat="1" applyFont="1" applyFill="1" applyBorder="1" applyAlignment="1">
      <alignment horizontal="center"/>
    </xf>
    <xf numFmtId="164" fontId="8" fillId="0" borderId="0" xfId="0" applyNumberFormat="1" applyFont="1" applyAlignment="1">
      <alignment horizontal="center"/>
    </xf>
    <xf numFmtId="164" fontId="6" fillId="0" borderId="0" xfId="0" applyNumberFormat="1" applyFont="1" applyAlignment="1">
      <alignment horizontal="center"/>
    </xf>
    <xf numFmtId="0" fontId="8" fillId="12" borderId="5" xfId="0" applyFont="1" applyFill="1" applyBorder="1" applyAlignment="1">
      <alignment horizontal="center"/>
    </xf>
    <xf numFmtId="165" fontId="8" fillId="12" borderId="5" xfId="0" applyNumberFormat="1" applyFont="1" applyFill="1" applyBorder="1" applyAlignment="1">
      <alignment horizontal="center"/>
    </xf>
    <xf numFmtId="164" fontId="8" fillId="0" borderId="22" xfId="0" applyNumberFormat="1" applyFont="1" applyBorder="1" applyAlignment="1">
      <alignment horizontal="center" vertical="center"/>
    </xf>
    <xf numFmtId="0" fontId="8" fillId="0" borderId="22" xfId="0" applyFont="1" applyBorder="1"/>
    <xf numFmtId="0" fontId="8" fillId="0" borderId="22" xfId="0" applyFont="1" applyBorder="1" applyAlignment="1">
      <alignment horizontal="center"/>
    </xf>
    <xf numFmtId="0" fontId="19" fillId="0" borderId="22" xfId="0" applyFont="1" applyBorder="1" applyAlignment="1">
      <alignment horizontal="center"/>
    </xf>
    <xf numFmtId="165" fontId="8" fillId="0" borderId="22" xfId="0" applyNumberFormat="1" applyFont="1" applyBorder="1" applyAlignment="1">
      <alignment horizontal="center"/>
    </xf>
    <xf numFmtId="165" fontId="19" fillId="0" borderId="0" xfId="0" applyNumberFormat="1" applyFont="1"/>
    <xf numFmtId="164" fontId="15" fillId="0" borderId="0" xfId="0" applyNumberFormat="1" applyFont="1"/>
    <xf numFmtId="164" fontId="19" fillId="0" borderId="0" xfId="0" applyNumberFormat="1" applyFont="1"/>
    <xf numFmtId="164" fontId="8" fillId="0" borderId="0" xfId="0" applyNumberFormat="1" applyFont="1"/>
    <xf numFmtId="0" fontId="19" fillId="0" borderId="0" xfId="0" applyFont="1" applyAlignment="1">
      <alignment horizontal="center"/>
    </xf>
    <xf numFmtId="0" fontId="19" fillId="0" borderId="0" xfId="0" applyFont="1"/>
    <xf numFmtId="165" fontId="19" fillId="0" borderId="22" xfId="0" applyNumberFormat="1" applyFont="1" applyBorder="1"/>
    <xf numFmtId="164" fontId="19" fillId="0" borderId="22" xfId="0" applyNumberFormat="1" applyFont="1" applyBorder="1"/>
    <xf numFmtId="0" fontId="19" fillId="0" borderId="0" xfId="0" applyFont="1" applyAlignment="1">
      <alignment horizontal="center" vertical="center"/>
    </xf>
    <xf numFmtId="0" fontId="15" fillId="0" borderId="0" xfId="0" applyFont="1"/>
    <xf numFmtId="164" fontId="19" fillId="0" borderId="23" xfId="0" applyNumberFormat="1" applyFont="1" applyBorder="1"/>
    <xf numFmtId="0" fontId="20" fillId="0" borderId="0" xfId="0" applyFont="1"/>
    <xf numFmtId="170" fontId="19" fillId="0" borderId="0" xfId="0" applyNumberFormat="1" applyFont="1"/>
    <xf numFmtId="44" fontId="15" fillId="0" borderId="0" xfId="0" applyNumberFormat="1" applyFont="1"/>
    <xf numFmtId="0" fontId="19" fillId="0" borderId="22" xfId="0" applyFont="1" applyBorder="1" applyAlignment="1">
      <alignment horizontal="center" vertical="center"/>
    </xf>
    <xf numFmtId="0" fontId="19" fillId="0" borderId="22" xfId="0" applyFont="1" applyBorder="1"/>
    <xf numFmtId="0" fontId="15" fillId="0" borderId="22" xfId="0" applyFont="1" applyBorder="1"/>
    <xf numFmtId="165" fontId="19" fillId="0" borderId="0" xfId="0" applyNumberFormat="1" applyFont="1" applyAlignment="1">
      <alignment horizontal="center"/>
    </xf>
    <xf numFmtId="165" fontId="19" fillId="0" borderId="0" xfId="0" applyNumberFormat="1" applyFont="1" applyAlignment="1">
      <alignment horizontal="center" vertical="center"/>
    </xf>
    <xf numFmtId="164" fontId="15" fillId="18" borderId="5" xfId="0" applyNumberFormat="1" applyFont="1" applyFill="1" applyBorder="1"/>
    <xf numFmtId="164" fontId="19" fillId="18" borderId="5" xfId="0" applyNumberFormat="1" applyFont="1" applyFill="1" applyBorder="1"/>
    <xf numFmtId="43" fontId="15" fillId="0" borderId="0" xfId="0" applyNumberFormat="1" applyFont="1"/>
    <xf numFmtId="0" fontId="21" fillId="0" borderId="0" xfId="0" applyFont="1"/>
    <xf numFmtId="0" fontId="6" fillId="0" borderId="22" xfId="0" applyFont="1" applyBorder="1"/>
    <xf numFmtId="165" fontId="6" fillId="0" borderId="22" xfId="0" applyNumberFormat="1" applyFont="1" applyBorder="1"/>
    <xf numFmtId="164" fontId="15" fillId="0" borderId="22" xfId="0" applyNumberFormat="1" applyFont="1" applyBorder="1"/>
    <xf numFmtId="164" fontId="6" fillId="0" borderId="22" xfId="0" applyNumberFormat="1" applyFont="1" applyBorder="1"/>
    <xf numFmtId="164" fontId="8" fillId="0" borderId="22" xfId="0" applyNumberFormat="1" applyFont="1" applyBorder="1"/>
    <xf numFmtId="0" fontId="8" fillId="0" borderId="22" xfId="0" applyFont="1" applyBorder="1" applyAlignment="1">
      <alignment horizontal="center" vertical="center"/>
    </xf>
    <xf numFmtId="165" fontId="8" fillId="0" borderId="0" xfId="0" applyNumberFormat="1" applyFont="1" applyAlignment="1">
      <alignment horizontal="center" vertical="center"/>
    </xf>
    <xf numFmtId="165" fontId="8" fillId="0" borderId="22" xfId="0" applyNumberFormat="1" applyFont="1" applyBorder="1"/>
    <xf numFmtId="0" fontId="11" fillId="0" borderId="0" xfId="0" applyFont="1"/>
    <xf numFmtId="165" fontId="8" fillId="0" borderId="0" xfId="0" applyNumberFormat="1" applyFont="1" applyAlignment="1">
      <alignment horizontal="center"/>
    </xf>
    <xf numFmtId="44" fontId="6" fillId="0" borderId="0" xfId="0" applyNumberFormat="1" applyFont="1"/>
    <xf numFmtId="165" fontId="6" fillId="0" borderId="0" xfId="0" applyNumberFormat="1" applyFont="1" applyAlignment="1">
      <alignment vertical="center"/>
    </xf>
    <xf numFmtId="165" fontId="8" fillId="0" borderId="0" xfId="0" applyNumberFormat="1" applyFont="1" applyAlignment="1">
      <alignment vertical="center"/>
    </xf>
    <xf numFmtId="171" fontId="6" fillId="0" borderId="0" xfId="0" applyNumberFormat="1" applyFont="1" applyAlignment="1">
      <alignment vertical="center"/>
    </xf>
    <xf numFmtId="0" fontId="6" fillId="0" borderId="0" xfId="0" applyFont="1" applyAlignment="1">
      <alignment vertical="center"/>
    </xf>
    <xf numFmtId="44" fontId="6" fillId="0" borderId="0" xfId="0" applyNumberFormat="1" applyFont="1" applyAlignment="1">
      <alignment vertical="center"/>
    </xf>
    <xf numFmtId="164" fontId="6" fillId="0" borderId="0" xfId="0" applyNumberFormat="1" applyFont="1" applyAlignment="1">
      <alignment vertical="center"/>
    </xf>
    <xf numFmtId="0" fontId="8" fillId="0" borderId="0" xfId="0" applyFont="1" applyAlignment="1">
      <alignment vertical="center"/>
    </xf>
    <xf numFmtId="0" fontId="6" fillId="0" borderId="0" xfId="0" applyFont="1" applyAlignment="1">
      <alignment wrapText="1"/>
    </xf>
    <xf numFmtId="165" fontId="6" fillId="0" borderId="0" xfId="0" applyNumberFormat="1" applyFont="1" applyAlignment="1">
      <alignment wrapText="1"/>
    </xf>
    <xf numFmtId="44" fontId="6" fillId="0" borderId="0" xfId="0" applyNumberFormat="1" applyFont="1" applyAlignment="1">
      <alignment wrapText="1"/>
    </xf>
    <xf numFmtId="0" fontId="6" fillId="0" borderId="0" xfId="0" applyFont="1" applyAlignment="1">
      <alignment horizontal="left" wrapText="1"/>
    </xf>
    <xf numFmtId="0" fontId="6" fillId="0" borderId="0" xfId="0" applyFont="1" applyAlignment="1">
      <alignment horizontal="left"/>
    </xf>
    <xf numFmtId="0" fontId="8" fillId="0" borderId="0" xfId="0" applyFont="1" applyAlignment="1">
      <alignment horizontal="left"/>
    </xf>
    <xf numFmtId="0" fontId="8" fillId="0" borderId="0" xfId="0" applyFont="1" applyAlignment="1">
      <alignment horizontal="left" wrapText="1"/>
    </xf>
    <xf numFmtId="0" fontId="19" fillId="0" borderId="0" xfId="0" applyFont="1" applyAlignment="1">
      <alignment horizontal="left" wrapText="1"/>
    </xf>
    <xf numFmtId="0" fontId="8" fillId="0" borderId="0" xfId="0" applyFont="1" applyAlignment="1">
      <alignment wrapText="1"/>
    </xf>
    <xf numFmtId="0" fontId="22" fillId="0" borderId="0" xfId="0" applyFont="1" applyAlignment="1">
      <alignment horizontal="left" wrapText="1"/>
    </xf>
    <xf numFmtId="165" fontId="23" fillId="0" borderId="0" xfId="0" applyNumberFormat="1" applyFont="1"/>
    <xf numFmtId="165" fontId="22" fillId="0" borderId="0" xfId="0" applyNumberFormat="1" applyFont="1"/>
    <xf numFmtId="9" fontId="6" fillId="0" borderId="0" xfId="0" applyNumberFormat="1" applyFont="1"/>
    <xf numFmtId="0" fontId="8" fillId="19" borderId="24" xfId="0" applyFont="1" applyFill="1" applyBorder="1"/>
    <xf numFmtId="9" fontId="8" fillId="0" borderId="0" xfId="0" applyNumberFormat="1" applyFont="1"/>
    <xf numFmtId="165" fontId="6" fillId="0" borderId="0" xfId="0" applyNumberFormat="1" applyFont="1" applyAlignment="1">
      <alignment horizontal="right"/>
    </xf>
    <xf numFmtId="164" fontId="6" fillId="0" borderId="0" xfId="0" applyNumberFormat="1" applyFont="1" applyAlignment="1">
      <alignment horizontal="right"/>
    </xf>
    <xf numFmtId="10" fontId="6" fillId="0" borderId="0" xfId="0" applyNumberFormat="1" applyFont="1"/>
    <xf numFmtId="172" fontId="6" fillId="0" borderId="0" xfId="0" applyNumberFormat="1" applyFont="1"/>
    <xf numFmtId="14" fontId="6" fillId="0" borderId="0" xfId="0" applyNumberFormat="1" applyFont="1" applyAlignment="1">
      <alignment horizontal="center"/>
    </xf>
    <xf numFmtId="6" fontId="6" fillId="0" borderId="0" xfId="0" applyNumberFormat="1" applyFont="1"/>
    <xf numFmtId="0" fontId="6" fillId="20" borderId="5" xfId="0" applyFont="1" applyFill="1" applyBorder="1"/>
    <xf numFmtId="0" fontId="8" fillId="0" borderId="23" xfId="0" applyFont="1" applyBorder="1" applyAlignment="1">
      <alignment horizontal="center"/>
    </xf>
    <xf numFmtId="173" fontId="6" fillId="0" borderId="0" xfId="0" applyNumberFormat="1" applyFont="1"/>
    <xf numFmtId="0" fontId="3" fillId="21" borderId="1" xfId="0" applyFont="1" applyFill="1" applyBorder="1"/>
    <xf numFmtId="0" fontId="6" fillId="0" borderId="27" xfId="0" applyFont="1" applyBorder="1" applyAlignment="1">
      <alignment horizontal="center"/>
    </xf>
    <xf numFmtId="173" fontId="6" fillId="0" borderId="27" xfId="0" applyNumberFormat="1" applyFont="1" applyBorder="1"/>
    <xf numFmtId="0" fontId="6" fillId="0" borderId="28" xfId="0" applyFont="1" applyBorder="1"/>
    <xf numFmtId="0" fontId="8" fillId="0" borderId="29" xfId="0" applyFont="1" applyBorder="1"/>
    <xf numFmtId="173" fontId="8" fillId="0" borderId="23" xfId="0" applyNumberFormat="1" applyFont="1" applyBorder="1" applyAlignment="1">
      <alignment horizontal="center"/>
    </xf>
    <xf numFmtId="0" fontId="6" fillId="0" borderId="30" xfId="0" applyFont="1" applyBorder="1"/>
    <xf numFmtId="0" fontId="6" fillId="0" borderId="31" xfId="0" applyFont="1" applyBorder="1"/>
    <xf numFmtId="4" fontId="6" fillId="0" borderId="0" xfId="0" applyNumberFormat="1" applyFont="1" applyAlignment="1">
      <alignment horizontal="center"/>
    </xf>
    <xf numFmtId="167" fontId="6" fillId="0" borderId="0" xfId="0" applyNumberFormat="1" applyFont="1"/>
    <xf numFmtId="0" fontId="6" fillId="0" borderId="32" xfId="0" applyFont="1" applyBorder="1"/>
    <xf numFmtId="9" fontId="6" fillId="0" borderId="31" xfId="0" applyNumberFormat="1" applyFont="1" applyBorder="1"/>
    <xf numFmtId="3" fontId="6" fillId="0" borderId="0" xfId="0" applyNumberFormat="1" applyFont="1" applyAlignment="1">
      <alignment horizontal="center"/>
    </xf>
    <xf numFmtId="167" fontId="6" fillId="0" borderId="22" xfId="0" applyNumberFormat="1" applyFont="1" applyBorder="1"/>
    <xf numFmtId="0" fontId="8" fillId="0" borderId="31" xfId="0" applyFont="1" applyBorder="1"/>
    <xf numFmtId="167" fontId="8" fillId="0" borderId="0" xfId="0" applyNumberFormat="1" applyFont="1"/>
    <xf numFmtId="0" fontId="6" fillId="0" borderId="33" xfId="0" applyFont="1" applyBorder="1"/>
    <xf numFmtId="0" fontId="6" fillId="0" borderId="22" xfId="0" applyFont="1" applyBorder="1" applyAlignment="1">
      <alignment horizontal="center"/>
    </xf>
    <xf numFmtId="173" fontId="6" fillId="0" borderId="22" xfId="0" applyNumberFormat="1" applyFont="1" applyBorder="1"/>
    <xf numFmtId="0" fontId="6" fillId="0" borderId="34" xfId="0" applyFont="1" applyBorder="1"/>
    <xf numFmtId="173" fontId="8" fillId="0" borderId="0" xfId="0" applyNumberFormat="1" applyFont="1"/>
    <xf numFmtId="0" fontId="8" fillId="22" borderId="5" xfId="0" applyFont="1" applyFill="1" applyBorder="1"/>
    <xf numFmtId="0" fontId="6" fillId="22" borderId="5" xfId="0" applyFont="1" applyFill="1" applyBorder="1" applyAlignment="1">
      <alignment horizontal="center"/>
    </xf>
    <xf numFmtId="173" fontId="6" fillId="22" borderId="5" xfId="0" applyNumberFormat="1" applyFont="1" applyFill="1" applyBorder="1"/>
    <xf numFmtId="173" fontId="8" fillId="22" borderId="5" xfId="0" applyNumberFormat="1" applyFont="1" applyFill="1" applyBorder="1"/>
    <xf numFmtId="0" fontId="6" fillId="22" borderId="5" xfId="0" applyFont="1" applyFill="1" applyBorder="1"/>
    <xf numFmtId="0" fontId="8" fillId="0" borderId="5" xfId="0" applyFont="1" applyBorder="1" applyAlignment="1">
      <alignment horizontal="center"/>
    </xf>
    <xf numFmtId="0" fontId="8" fillId="0" borderId="0" xfId="0" applyFont="1" applyAlignment="1">
      <alignment horizontal="center" wrapText="1"/>
    </xf>
    <xf numFmtId="164" fontId="8" fillId="0" borderId="23" xfId="0" applyNumberFormat="1" applyFont="1" applyBorder="1" applyAlignment="1">
      <alignment horizontal="center"/>
    </xf>
    <xf numFmtId="0" fontId="8" fillId="0" borderId="23" xfId="0" applyFont="1" applyBorder="1"/>
    <xf numFmtId="44" fontId="6" fillId="0" borderId="22" xfId="0" applyNumberFormat="1" applyFont="1" applyBorder="1"/>
    <xf numFmtId="0" fontId="8" fillId="0" borderId="5" xfId="0" applyFont="1" applyBorder="1"/>
    <xf numFmtId="0" fontId="6" fillId="0" borderId="5" xfId="0" applyFont="1" applyBorder="1" applyAlignment="1">
      <alignment horizontal="center"/>
    </xf>
    <xf numFmtId="173" fontId="6" fillId="0" borderId="5" xfId="0" applyNumberFormat="1" applyFont="1" applyBorder="1"/>
    <xf numFmtId="173" fontId="8" fillId="0" borderId="5" xfId="0" applyNumberFormat="1" applyFont="1" applyBorder="1"/>
    <xf numFmtId="0" fontId="6" fillId="0" borderId="5" xfId="0" applyFont="1" applyBorder="1"/>
    <xf numFmtId="0" fontId="24" fillId="0" borderId="0" xfId="0" applyFont="1" applyAlignment="1">
      <alignment horizontal="left" vertical="center"/>
    </xf>
    <xf numFmtId="0" fontId="25" fillId="0" borderId="0" xfId="0" applyFont="1" applyAlignment="1">
      <alignment horizontal="left" vertical="center"/>
    </xf>
    <xf numFmtId="0" fontId="24" fillId="0" borderId="0" xfId="0" applyFont="1" applyAlignment="1">
      <alignment horizontal="right" vertical="center" wrapText="1"/>
    </xf>
    <xf numFmtId="0" fontId="11" fillId="0" borderId="24" xfId="0" applyFont="1" applyBorder="1" applyAlignment="1">
      <alignment horizontal="center"/>
    </xf>
    <xf numFmtId="0" fontId="11" fillId="0" borderId="35" xfId="0" applyFont="1" applyBorder="1" applyAlignment="1">
      <alignment horizontal="center"/>
    </xf>
    <xf numFmtId="0" fontId="11" fillId="0" borderId="36" xfId="0" applyFont="1" applyBorder="1" applyAlignment="1">
      <alignment horizontal="center"/>
    </xf>
    <xf numFmtId="0" fontId="11" fillId="0" borderId="37" xfId="0" applyFont="1" applyBorder="1" applyAlignment="1">
      <alignment horizontal="center"/>
    </xf>
    <xf numFmtId="0" fontId="11" fillId="0" borderId="0" xfId="0" applyFont="1" applyAlignment="1">
      <alignment horizontal="center"/>
    </xf>
    <xf numFmtId="0" fontId="6" fillId="0" borderId="24" xfId="0" applyFont="1" applyBorder="1"/>
    <xf numFmtId="0" fontId="6" fillId="23" borderId="35" xfId="0" applyFont="1" applyFill="1" applyBorder="1"/>
    <xf numFmtId="0" fontId="6" fillId="23" borderId="36" xfId="0" applyFont="1" applyFill="1" applyBorder="1"/>
    <xf numFmtId="0" fontId="6" fillId="0" borderId="36" xfId="0" applyFont="1" applyBorder="1"/>
    <xf numFmtId="0" fontId="6" fillId="0" borderId="37" xfId="0" applyFont="1" applyBorder="1"/>
    <xf numFmtId="0" fontId="6" fillId="0" borderId="35" xfId="0" applyFont="1" applyBorder="1"/>
    <xf numFmtId="0" fontId="6" fillId="0" borderId="38" xfId="0" applyFont="1" applyBorder="1"/>
    <xf numFmtId="0" fontId="6" fillId="0" borderId="39" xfId="0" applyFont="1" applyBorder="1"/>
    <xf numFmtId="0" fontId="6" fillId="0" borderId="30" xfId="0" applyFont="1" applyBorder="1" applyAlignment="1">
      <alignment horizontal="right"/>
    </xf>
    <xf numFmtId="164" fontId="6" fillId="3" borderId="40" xfId="0" applyNumberFormat="1" applyFont="1" applyFill="1" applyBorder="1"/>
    <xf numFmtId="164" fontId="6" fillId="0" borderId="41" xfId="0" applyNumberFormat="1" applyFont="1" applyBorder="1"/>
    <xf numFmtId="0" fontId="6" fillId="0" borderId="41" xfId="0" applyFont="1" applyBorder="1"/>
    <xf numFmtId="0" fontId="6" fillId="0" borderId="42" xfId="0" applyFont="1" applyBorder="1"/>
    <xf numFmtId="0" fontId="6" fillId="0" borderId="43" xfId="0" applyFont="1" applyBorder="1"/>
    <xf numFmtId="0" fontId="6" fillId="0" borderId="44" xfId="0" applyFont="1" applyBorder="1"/>
    <xf numFmtId="0" fontId="6" fillId="0" borderId="45" xfId="0" applyFont="1" applyBorder="1"/>
    <xf numFmtId="0" fontId="6" fillId="0" borderId="46" xfId="0" applyFont="1" applyBorder="1" applyAlignment="1">
      <alignment horizontal="right"/>
    </xf>
    <xf numFmtId="164" fontId="6" fillId="0" borderId="47" xfId="0" applyNumberFormat="1" applyFont="1" applyBorder="1"/>
    <xf numFmtId="164" fontId="6" fillId="0" borderId="15" xfId="0" applyNumberFormat="1" applyFont="1" applyBorder="1"/>
    <xf numFmtId="0" fontId="6" fillId="0" borderId="48" xfId="0" applyFont="1" applyBorder="1"/>
    <xf numFmtId="0" fontId="6" fillId="0" borderId="47" xfId="0" applyFont="1" applyBorder="1"/>
    <xf numFmtId="0" fontId="6" fillId="0" borderId="49" xfId="0" applyFont="1" applyBorder="1"/>
    <xf numFmtId="0" fontId="6" fillId="0" borderId="50" xfId="0" applyFont="1" applyBorder="1"/>
    <xf numFmtId="0" fontId="6" fillId="0" borderId="51" xfId="0" applyFont="1" applyBorder="1" applyAlignment="1">
      <alignment horizontal="right"/>
    </xf>
    <xf numFmtId="164" fontId="6" fillId="0" borderId="52" xfId="0" applyNumberFormat="1" applyFont="1" applyBorder="1"/>
    <xf numFmtId="164" fontId="6" fillId="0" borderId="53" xfId="0" applyNumberFormat="1" applyFont="1" applyBorder="1"/>
    <xf numFmtId="0" fontId="6" fillId="0" borderId="53" xfId="0" applyFont="1" applyBorder="1"/>
    <xf numFmtId="0" fontId="6" fillId="0" borderId="54" xfId="0" applyFont="1" applyBorder="1"/>
    <xf numFmtId="0" fontId="6" fillId="0" borderId="52" xfId="0" applyFont="1" applyBorder="1"/>
    <xf numFmtId="0" fontId="6" fillId="0" borderId="55" xfId="0" applyFont="1" applyBorder="1"/>
    <xf numFmtId="0" fontId="11" fillId="0" borderId="50" xfId="0" applyFont="1" applyBorder="1" applyAlignment="1">
      <alignment horizontal="center"/>
    </xf>
    <xf numFmtId="0" fontId="6" fillId="0" borderId="14" xfId="0" applyFont="1" applyBorder="1"/>
    <xf numFmtId="0" fontId="6" fillId="0" borderId="56" xfId="0" applyFont="1" applyBorder="1" applyAlignment="1">
      <alignment horizontal="right"/>
    </xf>
    <xf numFmtId="0" fontId="6" fillId="0" borderId="57" xfId="0" applyFont="1" applyBorder="1"/>
    <xf numFmtId="0" fontId="6" fillId="0" borderId="40" xfId="0" applyFont="1" applyBorder="1"/>
    <xf numFmtId="0" fontId="6" fillId="0" borderId="58" xfId="0" applyFont="1" applyBorder="1"/>
    <xf numFmtId="0" fontId="6" fillId="0" borderId="59" xfId="0" applyFont="1" applyBorder="1"/>
    <xf numFmtId="0" fontId="11" fillId="0" borderId="45" xfId="0" applyFont="1" applyBorder="1" applyAlignment="1">
      <alignment horizontal="center"/>
    </xf>
    <xf numFmtId="0" fontId="6" fillId="0" borderId="28" xfId="0" applyFont="1" applyBorder="1" applyAlignment="1">
      <alignment horizontal="right"/>
    </xf>
    <xf numFmtId="0" fontId="6" fillId="0" borderId="14" xfId="0" applyFont="1" applyBorder="1" applyAlignment="1">
      <alignment horizontal="right"/>
    </xf>
    <xf numFmtId="0" fontId="8" fillId="0" borderId="60" xfId="0" applyFont="1" applyBorder="1"/>
    <xf numFmtId="44" fontId="6" fillId="0" borderId="61" xfId="0" applyNumberFormat="1" applyFont="1" applyBorder="1"/>
    <xf numFmtId="165" fontId="6" fillId="0" borderId="61" xfId="0" applyNumberFormat="1" applyFont="1" applyBorder="1"/>
    <xf numFmtId="0" fontId="8" fillId="24" borderId="62" xfId="0" applyFont="1" applyFill="1" applyBorder="1"/>
    <xf numFmtId="0" fontId="6" fillId="24" borderId="63" xfId="0" applyFont="1" applyFill="1" applyBorder="1"/>
    <xf numFmtId="0" fontId="6" fillId="24" borderId="64" xfId="0" applyFont="1" applyFill="1" applyBorder="1"/>
    <xf numFmtId="164" fontId="6" fillId="0" borderId="31" xfId="0" applyNumberFormat="1" applyFont="1" applyBorder="1"/>
    <xf numFmtId="169" fontId="6" fillId="0" borderId="0" xfId="0" applyNumberFormat="1" applyFont="1"/>
    <xf numFmtId="0" fontId="6" fillId="0" borderId="12" xfId="0" applyFont="1" applyBorder="1"/>
    <xf numFmtId="10" fontId="6" fillId="0" borderId="13" xfId="0" applyNumberFormat="1" applyFont="1" applyBorder="1"/>
    <xf numFmtId="0" fontId="6" fillId="0" borderId="13" xfId="0" applyFont="1" applyBorder="1"/>
    <xf numFmtId="168" fontId="6" fillId="0" borderId="24" xfId="0" applyNumberFormat="1" applyFont="1" applyBorder="1"/>
    <xf numFmtId="43" fontId="6" fillId="0" borderId="0" xfId="0" applyNumberFormat="1" applyFont="1"/>
    <xf numFmtId="174" fontId="6" fillId="0" borderId="0" xfId="0" applyNumberFormat="1" applyFont="1"/>
    <xf numFmtId="168" fontId="6" fillId="0" borderId="13" xfId="0" applyNumberFormat="1" applyFont="1" applyBorder="1"/>
    <xf numFmtId="9" fontId="6" fillId="0" borderId="24" xfId="0" applyNumberFormat="1" applyFont="1" applyBorder="1"/>
    <xf numFmtId="0" fontId="19" fillId="0" borderId="31" xfId="0" applyFont="1" applyBorder="1"/>
    <xf numFmtId="0" fontId="23" fillId="0" borderId="0" xfId="0" applyFont="1"/>
    <xf numFmtId="164" fontId="6" fillId="0" borderId="23" xfId="0" applyNumberFormat="1" applyFont="1" applyBorder="1"/>
    <xf numFmtId="0" fontId="22" fillId="0" borderId="0" xfId="0" applyFont="1"/>
    <xf numFmtId="165" fontId="6" fillId="0" borderId="66" xfId="0" applyNumberFormat="1" applyFont="1" applyBorder="1"/>
    <xf numFmtId="175" fontId="6" fillId="0" borderId="22" xfId="0" applyNumberFormat="1" applyFont="1" applyBorder="1"/>
    <xf numFmtId="165" fontId="6" fillId="0" borderId="13" xfId="0" applyNumberFormat="1" applyFont="1" applyBorder="1"/>
    <xf numFmtId="175" fontId="6" fillId="0" borderId="0" xfId="0" applyNumberFormat="1" applyFont="1"/>
    <xf numFmtId="0" fontId="6" fillId="0" borderId="0" xfId="0" applyFont="1" applyAlignment="1">
      <alignment horizontal="center" wrapText="1"/>
    </xf>
    <xf numFmtId="174" fontId="6" fillId="0" borderId="32" xfId="0" applyNumberFormat="1" applyFont="1" applyBorder="1"/>
    <xf numFmtId="164" fontId="6" fillId="0" borderId="32" xfId="0" applyNumberFormat="1" applyFont="1" applyBorder="1"/>
    <xf numFmtId="164" fontId="6" fillId="0" borderId="34" xfId="0" applyNumberFormat="1" applyFont="1" applyBorder="1"/>
    <xf numFmtId="165" fontId="8" fillId="0" borderId="13" xfId="0" applyNumberFormat="1" applyFont="1" applyBorder="1"/>
    <xf numFmtId="44" fontId="8" fillId="0" borderId="70" xfId="0" applyNumberFormat="1" applyFont="1" applyBorder="1"/>
    <xf numFmtId="43" fontId="11" fillId="0" borderId="71" xfId="0" applyNumberFormat="1" applyFont="1" applyBorder="1"/>
    <xf numFmtId="44" fontId="6" fillId="0" borderId="72" xfId="0" applyNumberFormat="1" applyFont="1" applyBorder="1"/>
    <xf numFmtId="0" fontId="8" fillId="0" borderId="73" xfId="0" applyFont="1" applyBorder="1" applyAlignment="1">
      <alignment horizontal="center"/>
    </xf>
    <xf numFmtId="0" fontId="8" fillId="0" borderId="15" xfId="0" applyFont="1" applyBorder="1" applyAlignment="1">
      <alignment horizontal="center"/>
    </xf>
    <xf numFmtId="44" fontId="8" fillId="0" borderId="15" xfId="0" applyNumberFormat="1" applyFont="1" applyBorder="1" applyAlignment="1">
      <alignment horizontal="center"/>
    </xf>
    <xf numFmtId="44" fontId="8" fillId="0" borderId="48" xfId="0" applyNumberFormat="1" applyFont="1" applyBorder="1" applyAlignment="1">
      <alignment horizontal="center"/>
    </xf>
    <xf numFmtId="165" fontId="8" fillId="0" borderId="15" xfId="0" applyNumberFormat="1" applyFont="1" applyBorder="1" applyAlignment="1">
      <alignment horizontal="center"/>
    </xf>
    <xf numFmtId="164" fontId="8" fillId="0" borderId="73" xfId="0" applyNumberFormat="1" applyFont="1" applyBorder="1" applyAlignment="1">
      <alignment horizontal="center"/>
    </xf>
    <xf numFmtId="0" fontId="8" fillId="26" borderId="47" xfId="0" applyFont="1" applyFill="1" applyBorder="1"/>
    <xf numFmtId="164" fontId="6" fillId="19" borderId="15" xfId="0" applyNumberFormat="1" applyFont="1" applyFill="1" applyBorder="1"/>
    <xf numFmtId="2" fontId="6" fillId="26" borderId="15" xfId="0" applyNumberFormat="1" applyFont="1" applyFill="1" applyBorder="1"/>
    <xf numFmtId="164" fontId="6" fillId="26" borderId="15" xfId="0" applyNumberFormat="1" applyFont="1" applyFill="1" applyBorder="1"/>
    <xf numFmtId="43" fontId="6" fillId="26" borderId="15" xfId="0" applyNumberFormat="1" applyFont="1" applyFill="1" applyBorder="1"/>
    <xf numFmtId="169" fontId="6" fillId="26" borderId="15" xfId="0" applyNumberFormat="1" applyFont="1" applyFill="1" applyBorder="1"/>
    <xf numFmtId="165" fontId="6" fillId="26" borderId="15" xfId="0" applyNumberFormat="1" applyFont="1" applyFill="1" applyBorder="1"/>
    <xf numFmtId="165" fontId="6" fillId="26" borderId="74" xfId="0" applyNumberFormat="1" applyFont="1" applyFill="1" applyBorder="1"/>
    <xf numFmtId="165" fontId="19" fillId="26" borderId="15" xfId="0" applyNumberFormat="1" applyFont="1" applyFill="1" applyBorder="1"/>
    <xf numFmtId="0" fontId="8" fillId="0" borderId="47" xfId="0" applyFont="1" applyBorder="1"/>
    <xf numFmtId="43" fontId="8" fillId="0" borderId="15" xfId="0" applyNumberFormat="1" applyFont="1" applyBorder="1" applyAlignment="1">
      <alignment horizontal="center"/>
    </xf>
    <xf numFmtId="2" fontId="6" fillId="0" borderId="15" xfId="0" applyNumberFormat="1" applyFont="1" applyBorder="1"/>
    <xf numFmtId="43" fontId="6" fillId="0" borderId="15" xfId="0" applyNumberFormat="1" applyFont="1" applyBorder="1"/>
    <xf numFmtId="169" fontId="6" fillId="0" borderId="15" xfId="0" applyNumberFormat="1" applyFont="1" applyBorder="1"/>
    <xf numFmtId="165" fontId="6" fillId="0" borderId="15" xfId="0" applyNumberFormat="1" applyFont="1" applyBorder="1"/>
    <xf numFmtId="165" fontId="6" fillId="0" borderId="48" xfId="0" applyNumberFormat="1" applyFont="1" applyBorder="1"/>
    <xf numFmtId="165" fontId="19" fillId="0" borderId="15" xfId="0" applyNumberFormat="1" applyFont="1" applyBorder="1"/>
    <xf numFmtId="169" fontId="6" fillId="26" borderId="40" xfId="0" applyNumberFormat="1" applyFont="1" applyFill="1" applyBorder="1"/>
    <xf numFmtId="164" fontId="6" fillId="26" borderId="40" xfId="0" applyNumberFormat="1" applyFont="1" applyFill="1" applyBorder="1"/>
    <xf numFmtId="165" fontId="6" fillId="26" borderId="75" xfId="0" applyNumberFormat="1" applyFont="1" applyFill="1" applyBorder="1"/>
    <xf numFmtId="0" fontId="8" fillId="0" borderId="43" xfId="0" applyFont="1" applyBorder="1"/>
    <xf numFmtId="165" fontId="8" fillId="0" borderId="76" xfId="0" applyNumberFormat="1" applyFont="1" applyBorder="1"/>
    <xf numFmtId="165" fontId="8" fillId="0" borderId="77" xfId="0" applyNumberFormat="1" applyFont="1" applyBorder="1"/>
    <xf numFmtId="0" fontId="8" fillId="0" borderId="78" xfId="0" applyFont="1" applyBorder="1"/>
    <xf numFmtId="43" fontId="6" fillId="0" borderId="41" xfId="0" applyNumberFormat="1" applyFont="1" applyBorder="1"/>
    <xf numFmtId="44" fontId="6" fillId="0" borderId="41" xfId="0" applyNumberFormat="1" applyFont="1" applyBorder="1"/>
    <xf numFmtId="0" fontId="8" fillId="0" borderId="57" xfId="0" applyFont="1" applyBorder="1"/>
    <xf numFmtId="0" fontId="8" fillId="0" borderId="79" xfId="0" applyFont="1" applyBorder="1"/>
    <xf numFmtId="44" fontId="8" fillId="0" borderId="40" xfId="0" applyNumberFormat="1" applyFont="1" applyBorder="1"/>
    <xf numFmtId="43" fontId="6" fillId="0" borderId="40" xfId="0" applyNumberFormat="1" applyFont="1" applyBorder="1"/>
    <xf numFmtId="44" fontId="6" fillId="0" borderId="40" xfId="0" applyNumberFormat="1" applyFont="1" applyBorder="1"/>
    <xf numFmtId="165" fontId="6" fillId="0" borderId="41" xfId="0" applyNumberFormat="1" applyFont="1" applyBorder="1"/>
    <xf numFmtId="0" fontId="11" fillId="27" borderId="1" xfId="0" applyFont="1" applyFill="1" applyBorder="1"/>
    <xf numFmtId="165" fontId="8" fillId="0" borderId="48" xfId="0" applyNumberFormat="1" applyFont="1" applyBorder="1"/>
    <xf numFmtId="0" fontId="8" fillId="0" borderId="41" xfId="0" applyFont="1" applyBorder="1"/>
    <xf numFmtId="0" fontId="11" fillId="27" borderId="4" xfId="0" applyFont="1" applyFill="1" applyBorder="1"/>
    <xf numFmtId="165" fontId="11" fillId="27" borderId="11" xfId="0" applyNumberFormat="1" applyFont="1" applyFill="1" applyBorder="1"/>
    <xf numFmtId="177" fontId="6" fillId="0" borderId="0" xfId="0" applyNumberFormat="1" applyFont="1"/>
    <xf numFmtId="0" fontId="11" fillId="27" borderId="5" xfId="0" applyFont="1" applyFill="1" applyBorder="1"/>
    <xf numFmtId="0" fontId="6" fillId="23" borderId="5" xfId="0" applyFont="1" applyFill="1" applyBorder="1"/>
    <xf numFmtId="176" fontId="6" fillId="0" borderId="0" xfId="0" applyNumberFormat="1" applyFont="1"/>
    <xf numFmtId="44" fontId="8" fillId="0" borderId="0" xfId="0" applyNumberFormat="1" applyFont="1"/>
    <xf numFmtId="43" fontId="8" fillId="0" borderId="0" xfId="0" applyNumberFormat="1" applyFont="1" applyAlignment="1">
      <alignment horizontal="center"/>
    </xf>
    <xf numFmtId="171" fontId="6" fillId="0" borderId="0" xfId="0" applyNumberFormat="1" applyFont="1"/>
    <xf numFmtId="170" fontId="6" fillId="0" borderId="0" xfId="0" applyNumberFormat="1" applyFont="1"/>
    <xf numFmtId="178" fontId="6" fillId="0" borderId="0" xfId="0" applyNumberFormat="1" applyFont="1"/>
    <xf numFmtId="179" fontId="6" fillId="0" borderId="0" xfId="0" applyNumberFormat="1" applyFont="1"/>
    <xf numFmtId="10" fontId="6" fillId="0" borderId="23" xfId="0" applyNumberFormat="1" applyFont="1" applyBorder="1"/>
    <xf numFmtId="165" fontId="6" fillId="0" borderId="23" xfId="0" applyNumberFormat="1" applyFont="1" applyBorder="1"/>
    <xf numFmtId="9" fontId="6" fillId="0" borderId="23" xfId="0" applyNumberFormat="1" applyFont="1" applyBorder="1"/>
    <xf numFmtId="168" fontId="6" fillId="0" borderId="23" xfId="0" applyNumberFormat="1" applyFont="1" applyBorder="1"/>
    <xf numFmtId="0" fontId="6" fillId="0" borderId="23" xfId="0" applyFont="1" applyBorder="1"/>
    <xf numFmtId="166" fontId="8" fillId="0" borderId="0" xfId="0" applyNumberFormat="1" applyFont="1"/>
    <xf numFmtId="164" fontId="12" fillId="0" borderId="0" xfId="0" applyNumberFormat="1" applyFont="1" applyAlignment="1">
      <alignment horizontal="center"/>
    </xf>
    <xf numFmtId="0" fontId="26" fillId="0" borderId="0" xfId="0" applyFont="1" applyAlignment="1">
      <alignment horizontal="left"/>
    </xf>
    <xf numFmtId="0" fontId="26" fillId="0" borderId="0" xfId="0" applyFont="1"/>
    <xf numFmtId="0" fontId="12" fillId="0" borderId="0" xfId="0" applyFont="1"/>
    <xf numFmtId="0" fontId="26" fillId="0" borderId="0" xfId="0" applyFont="1" applyAlignment="1">
      <alignment wrapText="1"/>
    </xf>
    <xf numFmtId="0" fontId="28" fillId="0" borderId="0" xfId="0" applyFont="1" applyAlignment="1">
      <alignment wrapText="1"/>
    </xf>
    <xf numFmtId="9" fontId="28" fillId="0" borderId="0" xfId="0" applyNumberFormat="1" applyFont="1" applyAlignment="1">
      <alignment wrapText="1"/>
    </xf>
    <xf numFmtId="168" fontId="28" fillId="0" borderId="0" xfId="0" applyNumberFormat="1" applyFont="1" applyAlignment="1">
      <alignment wrapText="1"/>
    </xf>
    <xf numFmtId="164" fontId="11" fillId="0" borderId="0" xfId="0" applyNumberFormat="1" applyFont="1" applyAlignment="1">
      <alignment horizontal="center" textRotation="90"/>
    </xf>
    <xf numFmtId="0" fontId="12" fillId="0" borderId="15" xfId="0" applyFont="1" applyBorder="1" applyAlignment="1">
      <alignment horizontal="center" wrapText="1"/>
    </xf>
    <xf numFmtId="0" fontId="12" fillId="29" borderId="15" xfId="0" applyFont="1" applyFill="1" applyBorder="1" applyAlignment="1">
      <alignment horizontal="center" wrapText="1"/>
    </xf>
    <xf numFmtId="0" fontId="12" fillId="29" borderId="83" xfId="0" applyFont="1" applyFill="1" applyBorder="1" applyAlignment="1">
      <alignment horizontal="center" wrapText="1"/>
    </xf>
    <xf numFmtId="0" fontId="12" fillId="0" borderId="0" xfId="0" applyFont="1" applyAlignment="1">
      <alignment horizontal="center" wrapText="1"/>
    </xf>
    <xf numFmtId="0" fontId="12" fillId="0" borderId="48" xfId="0" applyFont="1" applyBorder="1" applyAlignment="1">
      <alignment wrapText="1"/>
    </xf>
    <xf numFmtId="0" fontId="12" fillId="0" borderId="66" xfId="0" applyFont="1" applyBorder="1" applyAlignment="1">
      <alignment horizontal="right" wrapText="1"/>
    </xf>
    <xf numFmtId="0" fontId="12" fillId="0" borderId="66" xfId="0" applyFont="1" applyBorder="1" applyAlignment="1">
      <alignment horizontal="right"/>
    </xf>
    <xf numFmtId="0" fontId="12" fillId="0" borderId="73" xfId="0" applyFont="1" applyBorder="1"/>
    <xf numFmtId="0" fontId="12" fillId="29" borderId="15" xfId="0" applyFont="1" applyFill="1" applyBorder="1" applyAlignment="1">
      <alignment wrapText="1"/>
    </xf>
    <xf numFmtId="165" fontId="29" fillId="29" borderId="15" xfId="0" applyNumberFormat="1" applyFont="1" applyFill="1" applyBorder="1" applyAlignment="1">
      <alignment horizontal="center" wrapText="1"/>
    </xf>
    <xf numFmtId="174" fontId="12" fillId="29" borderId="15" xfId="0" applyNumberFormat="1" applyFont="1" applyFill="1" applyBorder="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9" fontId="12" fillId="0" borderId="0" xfId="0" applyNumberFormat="1" applyFont="1"/>
    <xf numFmtId="165" fontId="12" fillId="0" borderId="84" xfId="0" applyNumberFormat="1" applyFont="1" applyBorder="1"/>
    <xf numFmtId="172" fontId="28" fillId="0" borderId="0" xfId="0" applyNumberFormat="1" applyFont="1"/>
    <xf numFmtId="164" fontId="29" fillId="8" borderId="15" xfId="0" applyNumberFormat="1" applyFont="1" applyFill="1" applyBorder="1"/>
    <xf numFmtId="164" fontId="12" fillId="28" borderId="15" xfId="0" applyNumberFormat="1" applyFont="1" applyFill="1" applyBorder="1"/>
    <xf numFmtId="165" fontId="12" fillId="28" borderId="15" xfId="0" applyNumberFormat="1" applyFont="1" applyFill="1" applyBorder="1" applyAlignment="1">
      <alignment horizontal="center" wrapText="1"/>
    </xf>
    <xf numFmtId="174" fontId="12" fillId="28" borderId="15" xfId="0" applyNumberFormat="1" applyFont="1" applyFill="1" applyBorder="1" applyAlignment="1">
      <alignment horizontal="center"/>
    </xf>
    <xf numFmtId="165" fontId="12" fillId="28" borderId="15" xfId="0" applyNumberFormat="1" applyFont="1" applyFill="1" applyBorder="1"/>
    <xf numFmtId="165" fontId="11" fillId="28" borderId="15" xfId="0" applyNumberFormat="1" applyFont="1" applyFill="1" applyBorder="1"/>
    <xf numFmtId="164" fontId="12" fillId="0" borderId="0" xfId="0" applyNumberFormat="1" applyFont="1"/>
    <xf numFmtId="165" fontId="12" fillId="0" borderId="0" xfId="0" applyNumberFormat="1" applyFont="1"/>
    <xf numFmtId="165" fontId="12" fillId="0" borderId="85" xfId="0" applyNumberFormat="1" applyFont="1" applyBorder="1"/>
    <xf numFmtId="172" fontId="12" fillId="0" borderId="0" xfId="0" applyNumberFormat="1" applyFont="1"/>
    <xf numFmtId="164" fontId="12" fillId="29" borderId="15" xfId="0" applyNumberFormat="1" applyFont="1" applyFill="1" applyBorder="1"/>
    <xf numFmtId="174" fontId="12" fillId="29" borderId="15" xfId="0" applyNumberFormat="1" applyFont="1" applyFill="1" applyBorder="1" applyAlignment="1">
      <alignment horizontal="center"/>
    </xf>
    <xf numFmtId="165" fontId="12" fillId="29" borderId="15" xfId="0" applyNumberFormat="1" applyFont="1" applyFill="1" applyBorder="1"/>
    <xf numFmtId="165" fontId="12" fillId="0" borderId="15" xfId="0" applyNumberFormat="1" applyFont="1" applyBorder="1"/>
    <xf numFmtId="0" fontId="30" fillId="0" borderId="86" xfId="0" applyFont="1" applyBorder="1"/>
    <xf numFmtId="0" fontId="12" fillId="0" borderId="27" xfId="0" applyFont="1" applyBorder="1"/>
    <xf numFmtId="165" fontId="12" fillId="0" borderId="27" xfId="0" applyNumberFormat="1" applyFont="1" applyBorder="1"/>
    <xf numFmtId="165" fontId="18" fillId="0" borderId="39" xfId="0" applyNumberFormat="1" applyFont="1" applyBorder="1"/>
    <xf numFmtId="164" fontId="12" fillId="0" borderId="15" xfId="0" applyNumberFormat="1" applyFont="1" applyBorder="1"/>
    <xf numFmtId="10" fontId="29" fillId="8" borderId="15" xfId="0" applyNumberFormat="1" applyFont="1" applyFill="1" applyBorder="1" applyAlignment="1">
      <alignment horizontal="right" wrapText="1"/>
    </xf>
    <xf numFmtId="174" fontId="12" fillId="0" borderId="15" xfId="0" applyNumberFormat="1" applyFont="1" applyBorder="1" applyAlignment="1">
      <alignment horizontal="center"/>
    </xf>
    <xf numFmtId="10" fontId="12" fillId="0" borderId="0" xfId="0" applyNumberFormat="1" applyFont="1"/>
    <xf numFmtId="164" fontId="12" fillId="8" borderId="87" xfId="0" applyNumberFormat="1" applyFont="1" applyFill="1" applyBorder="1"/>
    <xf numFmtId="164" fontId="12" fillId="29" borderId="87" xfId="0" applyNumberFormat="1" applyFont="1" applyFill="1" applyBorder="1"/>
    <xf numFmtId="174" fontId="12" fillId="29" borderId="87" xfId="0" applyNumberFormat="1" applyFont="1" applyFill="1" applyBorder="1" applyAlignment="1">
      <alignment horizontal="center"/>
    </xf>
    <xf numFmtId="165" fontId="12" fillId="29" borderId="87" xfId="0" applyNumberFormat="1" applyFont="1" applyFill="1" applyBorder="1"/>
    <xf numFmtId="165" fontId="12" fillId="0" borderId="87" xfId="0" applyNumberFormat="1" applyFont="1" applyBorder="1"/>
    <xf numFmtId="165" fontId="12" fillId="29" borderId="1" xfId="0" applyNumberFormat="1" applyFont="1" applyFill="1" applyBorder="1"/>
    <xf numFmtId="165" fontId="12" fillId="0" borderId="3" xfId="0" applyNumberFormat="1" applyFont="1" applyBorder="1"/>
    <xf numFmtId="0" fontId="29" fillId="0" borderId="33" xfId="0" applyFont="1" applyBorder="1"/>
    <xf numFmtId="165" fontId="29" fillId="0" borderId="34" xfId="0" applyNumberFormat="1" applyFont="1" applyBorder="1"/>
    <xf numFmtId="164" fontId="12" fillId="29" borderId="5" xfId="0" applyNumberFormat="1" applyFont="1" applyFill="1" applyBorder="1" applyAlignment="1">
      <alignment horizontal="left" wrapText="1"/>
    </xf>
    <xf numFmtId="0" fontId="29" fillId="0" borderId="0" xfId="0" applyFont="1"/>
    <xf numFmtId="165" fontId="29" fillId="0" borderId="0" xfId="0" applyNumberFormat="1" applyFont="1"/>
    <xf numFmtId="164" fontId="11" fillId="0" borderId="0" xfId="0" applyNumberFormat="1" applyFont="1" applyAlignment="1">
      <alignment horizontal="center"/>
    </xf>
    <xf numFmtId="0" fontId="11" fillId="0" borderId="23" xfId="0" applyFont="1" applyBorder="1" applyAlignment="1">
      <alignment horizontal="center"/>
    </xf>
    <xf numFmtId="0" fontId="12" fillId="0" borderId="0" xfId="0" applyFont="1" applyAlignment="1">
      <alignment horizontal="left"/>
    </xf>
    <xf numFmtId="165" fontId="12" fillId="29" borderId="5" xfId="0" applyNumberFormat="1" applyFont="1" applyFill="1" applyBorder="1"/>
    <xf numFmtId="0" fontId="11" fillId="0" borderId="0" xfId="0" applyFont="1" applyAlignment="1">
      <alignment horizontal="left" wrapText="1"/>
    </xf>
    <xf numFmtId="168" fontId="11" fillId="0" borderId="0" xfId="0" applyNumberFormat="1" applyFont="1"/>
    <xf numFmtId="0" fontId="31" fillId="0" borderId="0" xfId="0" applyFont="1" applyAlignment="1">
      <alignment horizontal="right"/>
    </xf>
    <xf numFmtId="0" fontId="32" fillId="0" borderId="0" xfId="0" applyFont="1"/>
    <xf numFmtId="9" fontId="11" fillId="0" borderId="0" xfId="0" applyNumberFormat="1" applyFont="1" applyAlignment="1">
      <alignment horizontal="right"/>
    </xf>
    <xf numFmtId="9" fontId="11" fillId="0" borderId="0" xfId="0" applyNumberFormat="1" applyFont="1" applyAlignment="1">
      <alignment horizontal="center"/>
    </xf>
    <xf numFmtId="165" fontId="32" fillId="0" borderId="0" xfId="0" applyNumberFormat="1" applyFont="1" applyAlignment="1">
      <alignment horizontal="left"/>
    </xf>
    <xf numFmtId="168" fontId="12" fillId="0" borderId="0" xfId="0" applyNumberFormat="1" applyFont="1" applyAlignment="1">
      <alignment horizontal="right"/>
    </xf>
    <xf numFmtId="0" fontId="12" fillId="0" borderId="0" xfId="0" applyFont="1" applyAlignment="1">
      <alignment horizontal="center"/>
    </xf>
    <xf numFmtId="0" fontId="32" fillId="0" borderId="0" xfId="0" applyFont="1" applyAlignment="1">
      <alignment horizontal="left"/>
    </xf>
    <xf numFmtId="165" fontId="33" fillId="30" borderId="5" xfId="0" applyNumberFormat="1" applyFont="1" applyFill="1" applyBorder="1"/>
    <xf numFmtId="0" fontId="6" fillId="30" borderId="5" xfId="0" applyFont="1" applyFill="1" applyBorder="1"/>
    <xf numFmtId="165" fontId="8" fillId="31" borderId="5" xfId="0" applyNumberFormat="1" applyFont="1" applyFill="1" applyBorder="1"/>
    <xf numFmtId="165" fontId="8" fillId="19" borderId="5" xfId="0" applyNumberFormat="1" applyFont="1" applyFill="1" applyBorder="1"/>
    <xf numFmtId="0" fontId="5" fillId="0" borderId="22" xfId="0" applyFont="1" applyBorder="1"/>
    <xf numFmtId="0" fontId="8" fillId="0" borderId="0" xfId="0" applyFont="1" applyAlignment="1">
      <alignment horizontal="right"/>
    </xf>
    <xf numFmtId="9" fontId="8" fillId="0" borderId="22" xfId="0" applyNumberFormat="1" applyFont="1" applyBorder="1"/>
    <xf numFmtId="165" fontId="8" fillId="0" borderId="13" xfId="0" applyNumberFormat="1" applyFont="1" applyBorder="1" applyAlignment="1">
      <alignment horizontal="center"/>
    </xf>
    <xf numFmtId="0" fontId="34" fillId="9" borderId="62" xfId="0" applyFont="1" applyFill="1" applyBorder="1"/>
    <xf numFmtId="0" fontId="6" fillId="9" borderId="63" xfId="0" applyFont="1" applyFill="1" applyBorder="1"/>
    <xf numFmtId="0" fontId="6" fillId="9" borderId="64" xfId="0" applyFont="1" applyFill="1" applyBorder="1"/>
    <xf numFmtId="0" fontId="34" fillId="0" borderId="22" xfId="0" applyFont="1" applyBorder="1"/>
    <xf numFmtId="0" fontId="6" fillId="0" borderId="0" xfId="0" applyFont="1" applyAlignment="1">
      <alignment horizontal="right"/>
    </xf>
    <xf numFmtId="0" fontId="7" fillId="0" borderId="26" xfId="0" applyFont="1" applyBorder="1"/>
    <xf numFmtId="0" fontId="18" fillId="0" borderId="26" xfId="0" applyFont="1" applyBorder="1" applyAlignment="1">
      <alignment horizontal="right"/>
    </xf>
    <xf numFmtId="167" fontId="18" fillId="0" borderId="26" xfId="0" applyNumberFormat="1" applyFont="1" applyBorder="1" applyAlignment="1">
      <alignment horizontal="right"/>
    </xf>
    <xf numFmtId="9" fontId="18" fillId="0" borderId="26" xfId="0" applyNumberFormat="1" applyFont="1" applyBorder="1" applyAlignment="1">
      <alignment horizontal="right"/>
    </xf>
    <xf numFmtId="44" fontId="8" fillId="0" borderId="88" xfId="0" applyNumberFormat="1" applyFont="1" applyBorder="1" applyAlignment="1">
      <alignment horizontal="center"/>
    </xf>
    <xf numFmtId="0" fontId="0" fillId="0" borderId="89" xfId="0" applyBorder="1"/>
    <xf numFmtId="0" fontId="38" fillId="32" borderId="90" xfId="0" applyFont="1" applyFill="1" applyBorder="1" applyAlignment="1">
      <alignment horizontal="center"/>
    </xf>
    <xf numFmtId="10" fontId="6" fillId="0" borderId="82" xfId="0" applyNumberFormat="1" applyFont="1" applyBorder="1"/>
    <xf numFmtId="0" fontId="40" fillId="0" borderId="0" xfId="0" applyFont="1"/>
    <xf numFmtId="0" fontId="38" fillId="0" borderId="0" xfId="0" applyFont="1"/>
    <xf numFmtId="0" fontId="0" fillId="0" borderId="91" xfId="0" applyBorder="1"/>
    <xf numFmtId="0" fontId="38" fillId="33" borderId="0" xfId="0" applyFont="1" applyFill="1"/>
    <xf numFmtId="8" fontId="38" fillId="34" borderId="0" xfId="0" applyNumberFormat="1" applyFont="1" applyFill="1"/>
    <xf numFmtId="0" fontId="43" fillId="0" borderId="0" xfId="0" applyFont="1"/>
    <xf numFmtId="0" fontId="44" fillId="0" borderId="0" xfId="0" applyFont="1"/>
    <xf numFmtId="0" fontId="42" fillId="0" borderId="0" xfId="0" applyFont="1" applyAlignment="1">
      <alignment horizontal="left"/>
    </xf>
    <xf numFmtId="0" fontId="45" fillId="0" borderId="0" xfId="0" applyFont="1"/>
    <xf numFmtId="0" fontId="43" fillId="0" borderId="22" xfId="0" applyFont="1" applyBorder="1"/>
    <xf numFmtId="0" fontId="46" fillId="0" borderId="15" xfId="0" applyFont="1" applyBorder="1" applyAlignment="1">
      <alignment vertical="center" wrapText="1"/>
    </xf>
    <xf numFmtId="0" fontId="43" fillId="0" borderId="0" xfId="0" applyFont="1" applyAlignment="1">
      <alignment horizontal="left"/>
    </xf>
    <xf numFmtId="0" fontId="6" fillId="0" borderId="26" xfId="0" applyFont="1" applyBorder="1"/>
    <xf numFmtId="164" fontId="8" fillId="0" borderId="92" xfId="0" applyNumberFormat="1" applyFont="1" applyBorder="1"/>
    <xf numFmtId="165" fontId="6" fillId="0" borderId="5" xfId="1" applyNumberFormat="1" applyFont="1" applyBorder="1"/>
    <xf numFmtId="0" fontId="42" fillId="0" borderId="31" xfId="0" applyFont="1" applyBorder="1"/>
    <xf numFmtId="0" fontId="51" fillId="35" borderId="93" xfId="0" applyFont="1" applyFill="1" applyBorder="1"/>
    <xf numFmtId="0" fontId="0" fillId="35" borderId="92" xfId="0" applyFill="1" applyBorder="1"/>
    <xf numFmtId="165" fontId="43" fillId="0" borderId="0" xfId="0" applyNumberFormat="1" applyFont="1"/>
    <xf numFmtId="165" fontId="0" fillId="0" borderId="0" xfId="1" applyNumberFormat="1" applyFont="1"/>
    <xf numFmtId="0" fontId="11" fillId="0" borderId="96" xfId="0" applyFont="1" applyBorder="1"/>
    <xf numFmtId="0" fontId="12" fillId="0" borderId="97" xfId="0" applyFont="1" applyBorder="1"/>
    <xf numFmtId="0" fontId="12" fillId="0" borderId="98" xfId="0" applyFont="1" applyBorder="1"/>
    <xf numFmtId="0" fontId="12" fillId="0" borderId="26" xfId="0" applyFont="1" applyBorder="1"/>
    <xf numFmtId="0" fontId="12" fillId="0" borderId="100" xfId="0" applyFont="1" applyBorder="1"/>
    <xf numFmtId="0" fontId="8" fillId="25" borderId="104" xfId="0" applyFont="1" applyFill="1" applyBorder="1" applyAlignment="1">
      <alignment horizontal="center"/>
    </xf>
    <xf numFmtId="0" fontId="8" fillId="25" borderId="105" xfId="0" applyFont="1" applyFill="1" applyBorder="1" applyAlignment="1">
      <alignment horizontal="center"/>
    </xf>
    <xf numFmtId="0" fontId="8" fillId="25" borderId="106" xfId="0" applyFont="1" applyFill="1" applyBorder="1" applyAlignment="1">
      <alignment horizontal="center"/>
    </xf>
    <xf numFmtId="0" fontId="6" fillId="0" borderId="99" xfId="0" applyFont="1" applyBorder="1"/>
    <xf numFmtId="0" fontId="6" fillId="0" borderId="65" xfId="0" applyFont="1" applyBorder="1"/>
    <xf numFmtId="165" fontId="6" fillId="0" borderId="26" xfId="0" applyNumberFormat="1" applyFont="1" applyBorder="1"/>
    <xf numFmtId="0" fontId="6" fillId="0" borderId="101" xfId="0" applyFont="1" applyBorder="1"/>
    <xf numFmtId="0" fontId="0" fillId="0" borderId="102" xfId="0" applyBorder="1"/>
    <xf numFmtId="0" fontId="0" fillId="0" borderId="92" xfId="0" applyBorder="1"/>
    <xf numFmtId="165" fontId="8" fillId="0" borderId="100" xfId="0" applyNumberFormat="1" applyFont="1" applyBorder="1"/>
    <xf numFmtId="0" fontId="8" fillId="0" borderId="107" xfId="0" applyFont="1" applyBorder="1" applyAlignment="1">
      <alignment horizontal="center"/>
    </xf>
    <xf numFmtId="0" fontId="7" fillId="0" borderId="25" xfId="0" applyFont="1" applyBorder="1"/>
    <xf numFmtId="0" fontId="55" fillId="36" borderId="96" xfId="0" applyFont="1" applyFill="1" applyBorder="1"/>
    <xf numFmtId="0" fontId="51" fillId="0" borderId="96" xfId="0" applyFont="1" applyBorder="1"/>
    <xf numFmtId="0" fontId="56" fillId="37" borderId="108" xfId="0" applyFont="1" applyFill="1" applyBorder="1" applyAlignment="1">
      <alignment horizontal="right"/>
    </xf>
    <xf numFmtId="0" fontId="0" fillId="0" borderId="99" xfId="0" applyBorder="1"/>
    <xf numFmtId="10" fontId="0" fillId="0" borderId="26" xfId="3" applyNumberFormat="1" applyFont="1" applyBorder="1"/>
    <xf numFmtId="0" fontId="0" fillId="0" borderId="93" xfId="0" applyBorder="1"/>
    <xf numFmtId="0" fontId="59" fillId="0" borderId="0" xfId="0" applyFont="1"/>
    <xf numFmtId="165" fontId="0" fillId="0" borderId="91" xfId="0" applyNumberFormat="1" applyBorder="1"/>
    <xf numFmtId="165" fontId="0" fillId="0" borderId="92" xfId="0" applyNumberFormat="1" applyBorder="1"/>
    <xf numFmtId="165" fontId="60" fillId="0" borderId="26" xfId="0" applyNumberFormat="1" applyFont="1" applyBorder="1"/>
    <xf numFmtId="165" fontId="0" fillId="0" borderId="0" xfId="0" applyNumberFormat="1"/>
    <xf numFmtId="0" fontId="40" fillId="35" borderId="102" xfId="0" applyFont="1" applyFill="1" applyBorder="1" applyAlignment="1">
      <alignment horizontal="left"/>
    </xf>
    <xf numFmtId="0" fontId="38" fillId="0" borderId="0" xfId="2" applyNumberFormat="1" applyFont="1" applyFill="1"/>
    <xf numFmtId="0" fontId="38" fillId="0" borderId="95" xfId="0" applyFont="1" applyBorder="1"/>
    <xf numFmtId="10" fontId="0" fillId="34" borderId="95" xfId="3" applyNumberFormat="1" applyFont="1" applyFill="1" applyBorder="1"/>
    <xf numFmtId="2" fontId="2" fillId="0" borderId="95" xfId="0" applyNumberFormat="1" applyFont="1" applyBorder="1"/>
    <xf numFmtId="164" fontId="0" fillId="0" borderId="95" xfId="2" applyNumberFormat="1" applyFont="1" applyFill="1" applyBorder="1"/>
    <xf numFmtId="43" fontId="0" fillId="0" borderId="95" xfId="2" applyFont="1" applyBorder="1"/>
    <xf numFmtId="169" fontId="0" fillId="0" borderId="95" xfId="2" applyNumberFormat="1" applyFont="1" applyBorder="1"/>
    <xf numFmtId="165" fontId="0" fillId="0" borderId="95" xfId="1" applyNumberFormat="1" applyFont="1" applyBorder="1"/>
    <xf numFmtId="165" fontId="0" fillId="0" borderId="95" xfId="1" applyNumberFormat="1" applyFont="1" applyFill="1" applyBorder="1"/>
    <xf numFmtId="165" fontId="38" fillId="0" borderId="95" xfId="1" applyNumberFormat="1" applyFont="1" applyFill="1" applyBorder="1"/>
    <xf numFmtId="0" fontId="38" fillId="38" borderId="109" xfId="0" applyFont="1" applyFill="1" applyBorder="1"/>
    <xf numFmtId="10" fontId="0" fillId="34" borderId="110" xfId="3" applyNumberFormat="1" applyFont="1" applyFill="1" applyBorder="1"/>
    <xf numFmtId="2" fontId="2" fillId="38" borderId="110" xfId="0" applyNumberFormat="1" applyFont="1" applyFill="1" applyBorder="1"/>
    <xf numFmtId="164" fontId="0" fillId="38" borderId="110" xfId="2" applyNumberFormat="1" applyFont="1" applyFill="1" applyBorder="1"/>
    <xf numFmtId="43" fontId="0" fillId="38" borderId="110" xfId="2" applyFont="1" applyFill="1" applyBorder="1"/>
    <xf numFmtId="169" fontId="0" fillId="38" borderId="110" xfId="2" applyNumberFormat="1" applyFont="1" applyFill="1" applyBorder="1"/>
    <xf numFmtId="165" fontId="0" fillId="38" borderId="110" xfId="1" applyNumberFormat="1" applyFont="1" applyFill="1" applyBorder="1"/>
    <xf numFmtId="165" fontId="0" fillId="38" borderId="108" xfId="1" applyNumberFormat="1" applyFont="1" applyFill="1" applyBorder="1"/>
    <xf numFmtId="165" fontId="38" fillId="38" borderId="110" xfId="1" applyNumberFormat="1" applyFont="1" applyFill="1" applyBorder="1"/>
    <xf numFmtId="0" fontId="0" fillId="39" borderId="111" xfId="2" applyNumberFormat="1" applyFont="1" applyFill="1" applyBorder="1"/>
    <xf numFmtId="10" fontId="0" fillId="34" borderId="111" xfId="3" applyNumberFormat="1" applyFont="1" applyFill="1" applyBorder="1"/>
    <xf numFmtId="2" fontId="2" fillId="39" borderId="111" xfId="0" applyNumberFormat="1" applyFont="1" applyFill="1" applyBorder="1"/>
    <xf numFmtId="164" fontId="0" fillId="39" borderId="111" xfId="2" applyNumberFormat="1" applyFont="1" applyFill="1" applyBorder="1"/>
    <xf numFmtId="43" fontId="0" fillId="39" borderId="111" xfId="2" applyFont="1" applyFill="1" applyBorder="1"/>
    <xf numFmtId="169" fontId="0" fillId="39" borderId="111" xfId="2" applyNumberFormat="1" applyFont="1" applyFill="1" applyBorder="1"/>
    <xf numFmtId="165" fontId="0" fillId="39" borderId="111" xfId="1" applyNumberFormat="1" applyFont="1" applyFill="1" applyBorder="1"/>
    <xf numFmtId="165" fontId="45" fillId="39" borderId="111" xfId="1" applyNumberFormat="1" applyFont="1" applyFill="1" applyBorder="1"/>
    <xf numFmtId="176" fontId="6" fillId="0" borderId="15" xfId="0" applyNumberFormat="1" applyFont="1" applyBorder="1"/>
    <xf numFmtId="165" fontId="6" fillId="0" borderId="74" xfId="0" applyNumberFormat="1" applyFont="1" applyBorder="1"/>
    <xf numFmtId="164" fontId="8" fillId="0" borderId="15" xfId="0" applyNumberFormat="1" applyFont="1" applyBorder="1"/>
    <xf numFmtId="165" fontId="0" fillId="38" borderId="95" xfId="1" applyNumberFormat="1" applyFont="1" applyFill="1" applyBorder="1"/>
    <xf numFmtId="165" fontId="2" fillId="0" borderId="95" xfId="1" applyNumberFormat="1" applyFont="1" applyFill="1" applyBorder="1"/>
    <xf numFmtId="9" fontId="8" fillId="0" borderId="15" xfId="0" applyNumberFormat="1" applyFont="1" applyBorder="1"/>
    <xf numFmtId="0" fontId="38" fillId="0" borderId="112" xfId="0" applyFont="1" applyBorder="1"/>
    <xf numFmtId="0" fontId="52" fillId="0" borderId="16" xfId="0" applyFont="1" applyBorder="1" applyAlignment="1">
      <alignment horizontal="left"/>
    </xf>
    <xf numFmtId="168" fontId="17" fillId="0" borderId="0" xfId="0" applyNumberFormat="1" applyFont="1"/>
    <xf numFmtId="0" fontId="38" fillId="0" borderId="0" xfId="0" applyFont="1" applyAlignment="1">
      <alignment horizontal="center" vertical="center"/>
    </xf>
    <xf numFmtId="0" fontId="45" fillId="37" borderId="0" xfId="0" applyFont="1" applyFill="1" applyAlignment="1">
      <alignment horizontal="right"/>
    </xf>
    <xf numFmtId="0" fontId="45" fillId="37" borderId="0" xfId="0" applyFont="1" applyFill="1" applyAlignment="1">
      <alignment horizontal="center"/>
    </xf>
    <xf numFmtId="43" fontId="45" fillId="37" borderId="0" xfId="2" applyFont="1" applyFill="1" applyAlignment="1">
      <alignment horizontal="center"/>
    </xf>
    <xf numFmtId="164" fontId="45" fillId="37" borderId="0" xfId="0" applyNumberFormat="1" applyFont="1" applyFill="1" applyAlignment="1">
      <alignment horizontal="center"/>
    </xf>
    <xf numFmtId="165" fontId="45" fillId="37" borderId="0" xfId="1" applyNumberFormat="1" applyFont="1" applyFill="1" applyAlignment="1">
      <alignment horizontal="center"/>
    </xf>
    <xf numFmtId="164" fontId="0" fillId="0" borderId="0" xfId="0" applyNumberFormat="1" applyAlignment="1">
      <alignment horizontal="center"/>
    </xf>
    <xf numFmtId="0" fontId="0" fillId="0" borderId="0" xfId="0" applyAlignment="1">
      <alignment horizontal="center"/>
    </xf>
    <xf numFmtId="0" fontId="38" fillId="40" borderId="0" xfId="0" applyFont="1" applyFill="1" applyAlignment="1">
      <alignment horizontal="right"/>
    </xf>
    <xf numFmtId="0" fontId="38" fillId="40" borderId="0" xfId="0" applyFont="1" applyFill="1" applyAlignment="1">
      <alignment horizontal="center"/>
    </xf>
    <xf numFmtId="43" fontId="38" fillId="40" borderId="0" xfId="2" applyFont="1" applyFill="1" applyAlignment="1">
      <alignment horizontal="center"/>
    </xf>
    <xf numFmtId="165" fontId="38" fillId="40" borderId="0" xfId="1" applyNumberFormat="1" applyFont="1" applyFill="1" applyAlignment="1">
      <alignment horizontal="center"/>
    </xf>
    <xf numFmtId="164" fontId="44" fillId="0" borderId="0" xfId="2" applyNumberFormat="1" applyFont="1" applyFill="1"/>
    <xf numFmtId="0" fontId="6" fillId="0" borderId="24" xfId="0" applyFont="1" applyBorder="1" applyAlignment="1">
      <alignment horizontal="right"/>
    </xf>
    <xf numFmtId="164" fontId="60" fillId="41" borderId="111" xfId="0" applyNumberFormat="1" applyFont="1" applyFill="1" applyBorder="1"/>
    <xf numFmtId="0" fontId="62" fillId="0" borderId="113" xfId="0" applyFont="1" applyBorder="1"/>
    <xf numFmtId="0" fontId="62" fillId="0" borderId="89" xfId="0" applyFont="1" applyBorder="1"/>
    <xf numFmtId="16" fontId="12" fillId="0" borderId="0" xfId="0" applyNumberFormat="1" applyFont="1"/>
    <xf numFmtId="0" fontId="29" fillId="0" borderId="0" xfId="0" applyFont="1" applyAlignment="1">
      <alignment horizontal="center"/>
    </xf>
    <xf numFmtId="43" fontId="29" fillId="0" borderId="0" xfId="2" applyFont="1" applyAlignment="1">
      <alignment horizontal="center"/>
    </xf>
    <xf numFmtId="0" fontId="12" fillId="0" borderId="92" xfId="0" applyFont="1" applyBorder="1"/>
    <xf numFmtId="0" fontId="12" fillId="0" borderId="103" xfId="0" applyFont="1" applyBorder="1"/>
    <xf numFmtId="0" fontId="63" fillId="0" borderId="114" xfId="0" applyFont="1" applyBorder="1" applyAlignment="1">
      <alignment horizontal="left" wrapText="1"/>
    </xf>
    <xf numFmtId="0" fontId="62" fillId="0" borderId="26" xfId="0" applyFont="1" applyBorder="1"/>
    <xf numFmtId="0" fontId="62" fillId="0" borderId="102" xfId="0" applyFont="1" applyBorder="1"/>
    <xf numFmtId="0" fontId="8" fillId="0" borderId="92" xfId="0" applyFont="1" applyBorder="1"/>
    <xf numFmtId="1" fontId="8" fillId="0" borderId="0" xfId="0" applyNumberFormat="1" applyFont="1" applyAlignment="1">
      <alignment horizontal="center"/>
    </xf>
    <xf numFmtId="1" fontId="8" fillId="17" borderId="5" xfId="0" applyNumberFormat="1" applyFont="1" applyFill="1" applyBorder="1" applyAlignment="1">
      <alignment horizontal="center"/>
    </xf>
    <xf numFmtId="1" fontId="19" fillId="17" borderId="5" xfId="0" applyNumberFormat="1" applyFont="1" applyFill="1" applyBorder="1" applyAlignment="1">
      <alignment horizontal="center"/>
    </xf>
    <xf numFmtId="1" fontId="0" fillId="0" borderId="0" xfId="0" applyNumberFormat="1" applyAlignment="1">
      <alignment horizontal="center"/>
    </xf>
    <xf numFmtId="0" fontId="64" fillId="0" borderId="0" xfId="0" applyFont="1"/>
    <xf numFmtId="165" fontId="45" fillId="0" borderId="0" xfId="0" applyNumberFormat="1" applyFont="1"/>
    <xf numFmtId="165" fontId="66" fillId="0" borderId="92" xfId="0" applyNumberFormat="1" applyFont="1" applyBorder="1" applyAlignment="1">
      <alignment horizontal="left" vertical="center" wrapText="1" indent="1"/>
    </xf>
    <xf numFmtId="164" fontId="67" fillId="0" borderId="0" xfId="2" applyNumberFormat="1" applyFont="1"/>
    <xf numFmtId="164" fontId="66" fillId="0" borderId="0" xfId="2" applyNumberFormat="1" applyFont="1"/>
    <xf numFmtId="164" fontId="8" fillId="0" borderId="0" xfId="2" applyNumberFormat="1" applyFont="1"/>
    <xf numFmtId="164" fontId="0" fillId="0" borderId="0" xfId="2" applyNumberFormat="1" applyFont="1"/>
    <xf numFmtId="164" fontId="68" fillId="0" borderId="0" xfId="2" applyNumberFormat="1" applyFont="1"/>
    <xf numFmtId="164" fontId="0" fillId="0" borderId="0" xfId="0" applyNumberFormat="1"/>
    <xf numFmtId="0" fontId="38" fillId="0" borderId="0" xfId="0" applyFont="1" applyAlignment="1">
      <alignment horizontal="center"/>
    </xf>
    <xf numFmtId="0" fontId="0" fillId="39" borderId="0" xfId="0" applyFill="1"/>
    <xf numFmtId="0" fontId="38" fillId="0" borderId="91" xfId="0" applyFont="1" applyBorder="1" applyAlignment="1">
      <alignment horizontal="center"/>
    </xf>
    <xf numFmtId="165" fontId="0" fillId="0" borderId="0" xfId="1" applyNumberFormat="1" applyFont="1" applyFill="1"/>
    <xf numFmtId="0" fontId="6" fillId="16" borderId="5" xfId="0" applyFont="1" applyFill="1" applyBorder="1" applyAlignment="1">
      <alignment horizontal="center"/>
    </xf>
    <xf numFmtId="1" fontId="6" fillId="17" borderId="5" xfId="0" applyNumberFormat="1" applyFont="1" applyFill="1" applyBorder="1" applyAlignment="1">
      <alignment horizontal="center"/>
    </xf>
    <xf numFmtId="0" fontId="44" fillId="37" borderId="0" xfId="0" applyFont="1" applyFill="1" applyAlignment="1">
      <alignment horizontal="center"/>
    </xf>
    <xf numFmtId="0" fontId="1" fillId="40" borderId="0" xfId="0" applyFont="1" applyFill="1" applyAlignment="1">
      <alignment horizontal="center"/>
    </xf>
    <xf numFmtId="0" fontId="6" fillId="12" borderId="5" xfId="0" applyFont="1" applyFill="1" applyBorder="1" applyAlignment="1">
      <alignment horizontal="center"/>
    </xf>
    <xf numFmtId="164" fontId="6" fillId="18" borderId="5" xfId="0" applyNumberFormat="1" applyFont="1" applyFill="1" applyBorder="1"/>
    <xf numFmtId="164" fontId="69" fillId="0" borderId="0" xfId="2" applyNumberFormat="1" applyFont="1"/>
    <xf numFmtId="165" fontId="69" fillId="0" borderId="92" xfId="0" applyNumberFormat="1" applyFont="1" applyBorder="1" applyAlignment="1">
      <alignment horizontal="left" vertical="center" wrapText="1" indent="1"/>
    </xf>
    <xf numFmtId="164" fontId="6" fillId="0" borderId="0" xfId="2" applyNumberFormat="1" applyFont="1"/>
    <xf numFmtId="0" fontId="8" fillId="16" borderId="5" xfId="0" applyFont="1" applyFill="1" applyBorder="1" applyAlignment="1">
      <alignment horizontal="center"/>
    </xf>
    <xf numFmtId="164" fontId="8" fillId="0" borderId="23" xfId="0" applyNumberFormat="1" applyFont="1" applyBorder="1"/>
    <xf numFmtId="164" fontId="8" fillId="18" borderId="5" xfId="0" applyNumberFormat="1" applyFont="1" applyFill="1" applyBorder="1"/>
    <xf numFmtId="165" fontId="68" fillId="0" borderId="92" xfId="0" applyNumberFormat="1" applyFont="1" applyBorder="1" applyAlignment="1">
      <alignment horizontal="left" vertical="center" wrapText="1" indent="1"/>
    </xf>
    <xf numFmtId="164" fontId="66" fillId="0" borderId="26" xfId="0" applyNumberFormat="1" applyFont="1" applyBorder="1" applyAlignment="1">
      <alignment horizontal="left" vertical="center" wrapText="1" indent="1"/>
    </xf>
    <xf numFmtId="164" fontId="69" fillId="0" borderId="26" xfId="0" applyNumberFormat="1" applyFont="1" applyBorder="1" applyAlignment="1">
      <alignment horizontal="left" vertical="center" wrapText="1" indent="1"/>
    </xf>
    <xf numFmtId="164" fontId="68" fillId="0" borderId="26" xfId="0" applyNumberFormat="1" applyFont="1" applyBorder="1" applyAlignment="1">
      <alignment horizontal="left" vertical="center" wrapText="1" indent="1"/>
    </xf>
    <xf numFmtId="0" fontId="22" fillId="0" borderId="0" xfId="0" applyFont="1" applyAlignment="1">
      <alignment horizontal="center" vertical="center"/>
    </xf>
    <xf numFmtId="164" fontId="67" fillId="0" borderId="0" xfId="2" applyNumberFormat="1" applyFont="1" applyFill="1"/>
    <xf numFmtId="164" fontId="8" fillId="0" borderId="0" xfId="2" applyNumberFormat="1" applyFont="1" applyFill="1"/>
    <xf numFmtId="43" fontId="6" fillId="0" borderId="0" xfId="0" applyNumberFormat="1" applyFont="1" applyAlignment="1">
      <alignment wrapText="1"/>
    </xf>
    <xf numFmtId="164" fontId="6" fillId="0" borderId="0" xfId="2" applyNumberFormat="1" applyFont="1" applyAlignment="1">
      <alignment vertical="center"/>
    </xf>
    <xf numFmtId="43" fontId="0" fillId="0" borderId="0" xfId="0" applyNumberFormat="1"/>
    <xf numFmtId="44" fontId="0" fillId="0" borderId="0" xfId="0" applyNumberFormat="1"/>
    <xf numFmtId="164" fontId="6" fillId="0" borderId="0" xfId="0" applyNumberFormat="1" applyFont="1" applyAlignment="1">
      <alignment wrapText="1"/>
    </xf>
    <xf numFmtId="164" fontId="45" fillId="0" borderId="0" xfId="2" applyNumberFormat="1" applyFont="1"/>
    <xf numFmtId="0" fontId="19" fillId="0" borderId="26" xfId="0" applyFont="1" applyBorder="1" applyAlignment="1">
      <alignment horizontal="center"/>
    </xf>
    <xf numFmtId="164" fontId="8" fillId="0" borderId="0" xfId="0" applyNumberFormat="1" applyFont="1" applyAlignment="1">
      <alignment vertical="center"/>
    </xf>
    <xf numFmtId="180" fontId="8" fillId="0" borderId="0" xfId="0" applyNumberFormat="1" applyFont="1" applyAlignment="1">
      <alignment wrapText="1"/>
    </xf>
    <xf numFmtId="164" fontId="6" fillId="0" borderId="0" xfId="2" applyNumberFormat="1" applyFont="1" applyFill="1"/>
    <xf numFmtId="164" fontId="44" fillId="37" borderId="0" xfId="0" applyNumberFormat="1" applyFont="1" applyFill="1" applyAlignment="1">
      <alignment horizontal="center"/>
    </xf>
    <xf numFmtId="165" fontId="19" fillId="0" borderId="0" xfId="1" applyNumberFormat="1" applyFont="1"/>
    <xf numFmtId="0" fontId="8" fillId="19" borderId="26" xfId="0" applyFont="1" applyFill="1" applyBorder="1"/>
    <xf numFmtId="0" fontId="44" fillId="0" borderId="0" xfId="0" applyFont="1" applyAlignment="1">
      <alignment horizontal="left"/>
    </xf>
    <xf numFmtId="165" fontId="19" fillId="0" borderId="22" xfId="1" applyNumberFormat="1" applyFont="1" applyBorder="1"/>
    <xf numFmtId="0" fontId="7" fillId="0" borderId="13" xfId="0" applyFont="1" applyBorder="1"/>
    <xf numFmtId="0" fontId="7" fillId="0" borderId="14" xfId="0" applyFont="1" applyBorder="1"/>
    <xf numFmtId="0" fontId="8" fillId="15" borderId="12" xfId="0" applyFont="1" applyFill="1" applyBorder="1" applyAlignment="1">
      <alignment horizontal="center" wrapText="1"/>
    </xf>
    <xf numFmtId="164" fontId="66" fillId="0" borderId="0" xfId="2" applyNumberFormat="1" applyFont="1" applyFill="1"/>
    <xf numFmtId="43" fontId="0" fillId="0" borderId="0" xfId="2" applyFont="1" applyFill="1"/>
    <xf numFmtId="43" fontId="6" fillId="0" borderId="0" xfId="0" applyNumberFormat="1" applyFont="1" applyAlignment="1">
      <alignment vertical="center"/>
    </xf>
    <xf numFmtId="164" fontId="6" fillId="0" borderId="0" xfId="2" applyNumberFormat="1" applyFont="1" applyAlignment="1">
      <alignment wrapText="1"/>
    </xf>
    <xf numFmtId="164" fontId="68" fillId="0" borderId="0" xfId="2" applyNumberFormat="1" applyFont="1" applyFill="1"/>
    <xf numFmtId="164" fontId="69" fillId="0" borderId="0" xfId="2" applyNumberFormat="1" applyFont="1" applyFill="1"/>
    <xf numFmtId="164" fontId="6" fillId="0" borderId="0" xfId="2" applyNumberFormat="1" applyFont="1" applyFill="1" applyAlignment="1">
      <alignment horizontal="right" wrapText="1" indent="1"/>
    </xf>
    <xf numFmtId="9" fontId="66" fillId="0" borderId="0" xfId="3" applyFont="1"/>
    <xf numFmtId="0" fontId="11" fillId="14" borderId="16" xfId="0" applyFont="1" applyFill="1" applyBorder="1" applyAlignment="1">
      <alignment horizontal="right"/>
    </xf>
    <xf numFmtId="1" fontId="8" fillId="17" borderId="5" xfId="0" applyNumberFormat="1" applyFont="1" applyFill="1" applyBorder="1" applyAlignment="1">
      <alignment horizontal="right"/>
    </xf>
    <xf numFmtId="0" fontId="5" fillId="0" borderId="26" xfId="0" applyFont="1" applyBorder="1" applyAlignment="1">
      <alignment horizontal="center"/>
    </xf>
    <xf numFmtId="0" fontId="11" fillId="30" borderId="5" xfId="0" applyFont="1" applyFill="1" applyBorder="1"/>
    <xf numFmtId="164" fontId="19" fillId="0" borderId="92" xfId="0" applyNumberFormat="1" applyFont="1" applyBorder="1"/>
    <xf numFmtId="0" fontId="6" fillId="0" borderId="91" xfId="0" applyFont="1" applyBorder="1"/>
    <xf numFmtId="0" fontId="8" fillId="0" borderId="9" xfId="0" applyFont="1" applyBorder="1"/>
    <xf numFmtId="10" fontId="8" fillId="42" borderId="95" xfId="3" applyNumberFormat="1" applyFont="1" applyFill="1" applyBorder="1"/>
    <xf numFmtId="10" fontId="8" fillId="0" borderId="95" xfId="3" applyNumberFormat="1" applyFont="1" applyFill="1" applyBorder="1"/>
    <xf numFmtId="10" fontId="8" fillId="43" borderId="111" xfId="3" applyNumberFormat="1" applyFont="1" applyFill="1" applyBorder="1"/>
    <xf numFmtId="9" fontId="70" fillId="0" borderId="115" xfId="3" applyFont="1" applyFill="1" applyBorder="1"/>
    <xf numFmtId="10" fontId="8" fillId="42" borderId="116" xfId="3" applyNumberFormat="1" applyFont="1" applyFill="1" applyBorder="1"/>
    <xf numFmtId="10" fontId="8" fillId="0" borderId="116" xfId="3" applyNumberFormat="1" applyFont="1" applyFill="1" applyBorder="1"/>
    <xf numFmtId="44" fontId="8" fillId="0" borderId="89" xfId="0" applyNumberFormat="1" applyFont="1" applyBorder="1" applyAlignment="1">
      <alignment horizontal="center"/>
    </xf>
    <xf numFmtId="172" fontId="8" fillId="42" borderId="110" xfId="3" applyNumberFormat="1" applyFont="1" applyFill="1" applyBorder="1"/>
    <xf numFmtId="0" fontId="71" fillId="0" borderId="0" xfId="0" applyFont="1"/>
    <xf numFmtId="0" fontId="62" fillId="0" borderId="95" xfId="0" applyFont="1" applyBorder="1" applyAlignment="1">
      <alignment vertical="center" wrapText="1"/>
    </xf>
    <xf numFmtId="164" fontId="44" fillId="44" borderId="0" xfId="2" applyNumberFormat="1" applyFont="1" applyFill="1"/>
    <xf numFmtId="164" fontId="15" fillId="44" borderId="0" xfId="0" applyNumberFormat="1" applyFont="1" applyFill="1"/>
    <xf numFmtId="0" fontId="0" fillId="44" borderId="0" xfId="0" applyFill="1"/>
    <xf numFmtId="0" fontId="15" fillId="44" borderId="0" xfId="0" applyFont="1" applyFill="1"/>
    <xf numFmtId="164" fontId="6" fillId="0" borderId="42" xfId="0" applyNumberFormat="1" applyFont="1" applyBorder="1"/>
    <xf numFmtId="164" fontId="8" fillId="0" borderId="26" xfId="0" applyNumberFormat="1" applyFont="1" applyBorder="1"/>
    <xf numFmtId="164" fontId="8" fillId="0" borderId="91" xfId="0" applyNumberFormat="1" applyFont="1" applyBorder="1"/>
    <xf numFmtId="164" fontId="6" fillId="0" borderId="92" xfId="0" applyNumberFormat="1" applyFont="1" applyBorder="1"/>
    <xf numFmtId="0" fontId="44" fillId="44" borderId="0" xfId="0" applyFont="1" applyFill="1"/>
    <xf numFmtId="165" fontId="19" fillId="0" borderId="0" xfId="1" applyNumberFormat="1" applyFont="1" applyFill="1"/>
    <xf numFmtId="164" fontId="19" fillId="0" borderId="0" xfId="2" applyNumberFormat="1" applyFont="1" applyFill="1"/>
    <xf numFmtId="164" fontId="65" fillId="0" borderId="0" xfId="2" applyNumberFormat="1" applyFont="1" applyFill="1"/>
    <xf numFmtId="164" fontId="0" fillId="0" borderId="0" xfId="2" applyNumberFormat="1" applyFont="1" applyFill="1"/>
    <xf numFmtId="0" fontId="72" fillId="0" borderId="0" xfId="0" applyFont="1" applyAlignment="1">
      <alignment horizontal="center"/>
    </xf>
    <xf numFmtId="0" fontId="45" fillId="0" borderId="0" xfId="0" applyFont="1" applyAlignment="1">
      <alignment horizontal="center"/>
    </xf>
    <xf numFmtId="0" fontId="9" fillId="4" borderId="12" xfId="0" applyFont="1" applyFill="1" applyBorder="1" applyAlignment="1">
      <alignment horizontal="center" vertical="center"/>
    </xf>
    <xf numFmtId="0" fontId="7" fillId="0" borderId="13" xfId="0" applyFont="1" applyBorder="1"/>
    <xf numFmtId="0" fontId="7" fillId="0" borderId="14" xfId="0" applyFont="1" applyBorder="1"/>
    <xf numFmtId="0" fontId="5" fillId="3" borderId="7" xfId="0" applyFont="1" applyFill="1" applyBorder="1" applyAlignment="1">
      <alignment horizontal="left" vertical="center" wrapText="1"/>
    </xf>
    <xf numFmtId="0" fontId="7" fillId="0" borderId="8" xfId="0" applyFont="1" applyBorder="1"/>
    <xf numFmtId="0" fontId="5" fillId="7" borderId="7" xfId="0" applyFont="1" applyFill="1" applyBorder="1" applyAlignment="1">
      <alignment horizontal="center"/>
    </xf>
    <xf numFmtId="0" fontId="7" fillId="0" borderId="25" xfId="0" applyFont="1" applyBorder="1"/>
    <xf numFmtId="0" fontId="7" fillId="0" borderId="26" xfId="0" applyFont="1" applyBorder="1"/>
    <xf numFmtId="0" fontId="8" fillId="0" borderId="22" xfId="0" applyFont="1" applyBorder="1" applyAlignment="1">
      <alignment horizontal="center"/>
    </xf>
    <xf numFmtId="0" fontId="7" fillId="0" borderId="22" xfId="0" applyFont="1" applyBorder="1"/>
    <xf numFmtId="0" fontId="8" fillId="0" borderId="0" xfId="0" applyFont="1" applyAlignment="1">
      <alignment horizontal="center" wrapText="1"/>
    </xf>
    <xf numFmtId="0" fontId="0" fillId="0" borderId="0" xfId="0"/>
    <xf numFmtId="0" fontId="49" fillId="0" borderId="93" xfId="0" applyFont="1" applyBorder="1" applyAlignment="1">
      <alignment horizontal="left" vertical="center" wrapText="1" indent="3"/>
    </xf>
    <xf numFmtId="0" fontId="0" fillId="0" borderId="90" xfId="0" applyBorder="1" applyAlignment="1">
      <alignment horizontal="left" indent="3"/>
    </xf>
    <xf numFmtId="0" fontId="0" fillId="0" borderId="94" xfId="0" applyBorder="1" applyAlignment="1">
      <alignment horizontal="left" indent="3"/>
    </xf>
    <xf numFmtId="0" fontId="24" fillId="0" borderId="0" xfId="0" applyFont="1" applyAlignment="1">
      <alignment horizontal="left" vertical="center" wrapText="1" indent="3"/>
    </xf>
    <xf numFmtId="0" fontId="0" fillId="0" borderId="0" xfId="0" applyAlignment="1">
      <alignment horizontal="left" indent="3"/>
    </xf>
    <xf numFmtId="0" fontId="48" fillId="0" borderId="0" xfId="0" applyFont="1" applyAlignment="1">
      <alignment horizontal="left" vertical="center" wrapText="1" indent="3"/>
    </xf>
    <xf numFmtId="0" fontId="24" fillId="0" borderId="0" xfId="0" applyFont="1" applyAlignment="1">
      <alignment horizontal="left" vertical="center" wrapText="1"/>
    </xf>
    <xf numFmtId="0" fontId="0" fillId="0" borderId="0" xfId="0" applyAlignment="1">
      <alignment horizontal="left"/>
    </xf>
    <xf numFmtId="0" fontId="55" fillId="36" borderId="99" xfId="0" applyFont="1" applyFill="1" applyBorder="1" applyAlignment="1">
      <alignment horizontal="center"/>
    </xf>
    <xf numFmtId="0" fontId="55" fillId="36" borderId="26" xfId="0" applyFont="1" applyFill="1" applyBorder="1" applyAlignment="1">
      <alignment horizontal="center"/>
    </xf>
    <xf numFmtId="0" fontId="6" fillId="0" borderId="0" xfId="0" applyFont="1" applyAlignment="1">
      <alignment horizontal="center"/>
    </xf>
    <xf numFmtId="0" fontId="8" fillId="0" borderId="0" xfId="0" applyFont="1" applyAlignment="1">
      <alignment horizontal="left" wrapText="1"/>
    </xf>
    <xf numFmtId="0" fontId="55" fillId="36" borderId="0" xfId="0" applyFont="1" applyFill="1" applyAlignment="1">
      <alignment horizontal="center"/>
    </xf>
    <xf numFmtId="0" fontId="5" fillId="4" borderId="65" xfId="0" applyFont="1" applyFill="1" applyBorder="1" applyAlignment="1">
      <alignment horizontal="center"/>
    </xf>
    <xf numFmtId="0" fontId="5" fillId="4" borderId="26" xfId="0" applyFont="1" applyFill="1" applyBorder="1" applyAlignment="1">
      <alignment horizontal="center"/>
    </xf>
    <xf numFmtId="0" fontId="6" fillId="0" borderId="32" xfId="0" applyFont="1" applyBorder="1" applyAlignment="1">
      <alignment horizontal="center" wrapText="1"/>
    </xf>
    <xf numFmtId="0" fontId="7" fillId="0" borderId="34" xfId="0" applyFont="1" applyBorder="1"/>
    <xf numFmtId="0" fontId="8" fillId="3" borderId="12" xfId="0" applyFont="1" applyFill="1" applyBorder="1" applyAlignment="1">
      <alignment horizontal="center"/>
    </xf>
    <xf numFmtId="0" fontId="8" fillId="15" borderId="12" xfId="0" applyFont="1" applyFill="1" applyBorder="1" applyAlignment="1">
      <alignment horizontal="center"/>
    </xf>
    <xf numFmtId="0" fontId="8" fillId="3" borderId="65" xfId="0" applyFont="1" applyFill="1" applyBorder="1" applyAlignment="1">
      <alignment horizontal="center" wrapText="1"/>
    </xf>
    <xf numFmtId="0" fontId="8" fillId="0" borderId="67" xfId="0" applyFont="1" applyBorder="1" applyAlignment="1">
      <alignment horizontal="center"/>
    </xf>
    <xf numFmtId="0" fontId="7" fillId="0" borderId="68" xfId="0" applyFont="1" applyBorder="1"/>
    <xf numFmtId="0" fontId="7" fillId="0" borderId="69" xfId="0" applyFont="1" applyBorder="1"/>
    <xf numFmtId="44" fontId="11" fillId="27" borderId="80" xfId="0" applyNumberFormat="1" applyFont="1" applyFill="1" applyBorder="1" applyAlignment="1">
      <alignment horizontal="center" wrapText="1"/>
    </xf>
    <xf numFmtId="0" fontId="7" fillId="0" borderId="81" xfId="0" applyFont="1" applyBorder="1"/>
    <xf numFmtId="0" fontId="11" fillId="0" borderId="0" xfId="0" applyFont="1" applyAlignment="1">
      <alignment horizontal="center"/>
    </xf>
    <xf numFmtId="0" fontId="18" fillId="29" borderId="7" xfId="0" applyFont="1" applyFill="1" applyBorder="1" applyAlignment="1">
      <alignment horizontal="center"/>
    </xf>
    <xf numFmtId="0" fontId="27" fillId="28" borderId="7" xfId="0" applyFont="1" applyFill="1" applyBorder="1" applyAlignment="1">
      <alignment horizontal="left" vertical="top" wrapText="1"/>
    </xf>
    <xf numFmtId="164" fontId="11" fillId="29" borderId="86" xfId="0" applyNumberFormat="1" applyFont="1" applyFill="1" applyBorder="1" applyAlignment="1">
      <alignment horizontal="left" wrapText="1"/>
    </xf>
    <xf numFmtId="0" fontId="7" fillId="0" borderId="27" xfId="0" applyFont="1" applyBorder="1"/>
    <xf numFmtId="0" fontId="7" fillId="0" borderId="28" xfId="0" applyFont="1" applyBorder="1"/>
    <xf numFmtId="0" fontId="7" fillId="0" borderId="33" xfId="0" applyFont="1" applyBorder="1"/>
    <xf numFmtId="0" fontId="11" fillId="0" borderId="0" xfId="0" applyFont="1" applyAlignment="1">
      <alignment horizontal="left" wrapText="1"/>
    </xf>
    <xf numFmtId="0" fontId="8" fillId="0" borderId="0" xfId="0" applyFont="1" applyAlignment="1">
      <alignment horizontal="center"/>
    </xf>
  </cellXfs>
  <cellStyles count="4">
    <cellStyle name="Comma" xfId="2" builtinId="3"/>
    <cellStyle name="Currency" xfId="1" builtinId="4"/>
    <cellStyle name="Normal" xfId="0" builtinId="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Pinta Dome Field Profile</a:t>
            </a:r>
          </a:p>
        </c:rich>
      </c:tx>
      <c:layout>
        <c:manualLayout>
          <c:xMode val="edge"/>
          <c:yMode val="edge"/>
          <c:x val="0.38833093568871868"/>
          <c:y val="2.06890878094301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621434972266856E-2"/>
          <c:y val="0.12341641012301979"/>
          <c:w val="0.87629521430525814"/>
          <c:h val="0.79383315117455389"/>
        </c:manualLayout>
      </c:layout>
      <c:lineChart>
        <c:grouping val="standard"/>
        <c:varyColors val="0"/>
        <c:ser>
          <c:idx val="0"/>
          <c:order val="0"/>
          <c:spPr>
            <a:ln w="28575" cap="rnd">
              <a:solidFill>
                <a:schemeClr val="accent1"/>
              </a:solidFill>
              <a:round/>
            </a:ln>
            <a:effectLst/>
          </c:spPr>
          <c:marker>
            <c:symbol val="none"/>
          </c:marker>
          <c:val>
            <c:numLit>
              <c:formatCode>General</c:formatCode>
              <c:ptCount val="18"/>
              <c:pt idx="0">
                <c:v>4.7557003257328992E-2</c:v>
              </c:pt>
              <c:pt idx="1">
                <c:v>5.7328990228013028E-2</c:v>
              </c:pt>
              <c:pt idx="2">
                <c:v>6.8403908794788276E-2</c:v>
              </c:pt>
              <c:pt idx="3">
                <c:v>7.8175895765472306E-2</c:v>
              </c:pt>
              <c:pt idx="4">
                <c:v>6.6449511400651459E-2</c:v>
              </c:pt>
              <c:pt idx="5">
                <c:v>9.1205211726384364E-2</c:v>
              </c:pt>
              <c:pt idx="6">
                <c:v>8.5993485342019546E-2</c:v>
              </c:pt>
              <c:pt idx="7">
                <c:v>6.9055374592833882E-2</c:v>
              </c:pt>
              <c:pt idx="8">
                <c:v>7.42671009771987E-2</c:v>
              </c:pt>
              <c:pt idx="9">
                <c:v>6.384364820846905E-2</c:v>
              </c:pt>
              <c:pt idx="10">
                <c:v>6.3192182410423459E-2</c:v>
              </c:pt>
              <c:pt idx="11">
                <c:v>5.0814332247557006E-2</c:v>
              </c:pt>
              <c:pt idx="12">
                <c:v>4.2996742671009773E-2</c:v>
              </c:pt>
              <c:pt idx="13">
                <c:v>3.9087947882736153E-2</c:v>
              </c:pt>
              <c:pt idx="14">
                <c:v>3.2573289902280131E-2</c:v>
              </c:pt>
              <c:pt idx="15">
                <c:v>2.6058631921824105E-2</c:v>
              </c:pt>
              <c:pt idx="16">
                <c:v>2.3452768729641693E-2</c:v>
              </c:pt>
              <c:pt idx="17">
                <c:v>1.9543973941368076E-2</c:v>
              </c:pt>
            </c:numLit>
          </c:val>
          <c:smooth val="0"/>
          <c:extLst>
            <c:ext xmlns:c16="http://schemas.microsoft.com/office/drawing/2014/chart" uri="{C3380CC4-5D6E-409C-BE32-E72D297353CC}">
              <c16:uniqueId val="{00000000-EC3D-4FF3-9AF6-B1E513B3DEF5}"/>
            </c:ext>
          </c:extLst>
        </c:ser>
        <c:ser>
          <c:idx val="1"/>
          <c:order val="1"/>
          <c:spPr>
            <a:ln w="28575" cap="rnd">
              <a:solidFill>
                <a:schemeClr val="accent2"/>
              </a:solidFill>
              <a:round/>
            </a:ln>
            <a:effectLst/>
          </c:spPr>
          <c:marker>
            <c:symbol val="none"/>
          </c:marker>
          <c:val>
            <c:numLit>
              <c:formatCode>General</c:formatCode>
              <c:ptCount val="18"/>
              <c:pt idx="0">
                <c:v>4.7557003257328992E-2</c:v>
              </c:pt>
              <c:pt idx="1">
                <c:v>5.7328990228013028E-2</c:v>
              </c:pt>
              <c:pt idx="2">
                <c:v>6.8403908794788276E-2</c:v>
              </c:pt>
              <c:pt idx="3">
                <c:v>7.8175895765472306E-2</c:v>
              </c:pt>
              <c:pt idx="4">
                <c:v>6.6449511400651459E-2</c:v>
              </c:pt>
              <c:pt idx="5">
                <c:v>9.1205211726384364E-2</c:v>
              </c:pt>
              <c:pt idx="6">
                <c:v>8.5993485342019546E-2</c:v>
              </c:pt>
              <c:pt idx="7">
                <c:v>6.9055374592833882E-2</c:v>
              </c:pt>
              <c:pt idx="8">
                <c:v>7.42671009771987E-2</c:v>
              </c:pt>
              <c:pt idx="9">
                <c:v>6.384364820846905E-2</c:v>
              </c:pt>
              <c:pt idx="10">
                <c:v>6.3192182410423459E-2</c:v>
              </c:pt>
              <c:pt idx="11">
                <c:v>5.0814332247557006E-2</c:v>
              </c:pt>
              <c:pt idx="12">
                <c:v>4.2996742671009773E-2</c:v>
              </c:pt>
              <c:pt idx="13">
                <c:v>3.9087947882736153E-2</c:v>
              </c:pt>
              <c:pt idx="14">
                <c:v>3.2573289902280131E-2</c:v>
              </c:pt>
              <c:pt idx="15">
                <c:v>2.6058631921824105E-2</c:v>
              </c:pt>
              <c:pt idx="16">
                <c:v>2.3452768729641693E-2</c:v>
              </c:pt>
              <c:pt idx="17">
                <c:v>1.9543973941368076E-2</c:v>
              </c:pt>
            </c:numLit>
          </c:val>
          <c:smooth val="0"/>
          <c:extLst>
            <c:ext xmlns:c16="http://schemas.microsoft.com/office/drawing/2014/chart" uri="{C3380CC4-5D6E-409C-BE32-E72D297353CC}">
              <c16:uniqueId val="{00000001-EC3D-4FF3-9AF6-B1E513B3DEF5}"/>
            </c:ext>
          </c:extLst>
        </c:ser>
        <c:dLbls>
          <c:showLegendKey val="0"/>
          <c:showVal val="0"/>
          <c:showCatName val="0"/>
          <c:showSerName val="0"/>
          <c:showPercent val="0"/>
          <c:showBubbleSize val="0"/>
        </c:dLbls>
        <c:smooth val="0"/>
        <c:axId val="496806856"/>
        <c:axId val="405282488"/>
      </c:lineChart>
      <c:catAx>
        <c:axId val="4968068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5282488"/>
        <c:crosses val="autoZero"/>
        <c:auto val="1"/>
        <c:lblAlgn val="ctr"/>
        <c:lblOffset val="100"/>
        <c:noMultiLvlLbl val="0"/>
      </c:catAx>
      <c:valAx>
        <c:axId val="405282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680685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1</xdr:col>
      <xdr:colOff>600075</xdr:colOff>
      <xdr:row>43</xdr:row>
      <xdr:rowOff>28575</xdr:rowOff>
    </xdr:from>
    <xdr:ext cx="9410700" cy="20764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56</xdr:row>
      <xdr:rowOff>66675</xdr:rowOff>
    </xdr:from>
    <xdr:ext cx="10553700" cy="6781800"/>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87086</xdr:colOff>
          <xdr:row>6</xdr:row>
          <xdr:rowOff>16329</xdr:rowOff>
        </xdr:from>
        <xdr:to>
          <xdr:col>16</xdr:col>
          <xdr:colOff>185057</xdr:colOff>
          <xdr:row>60</xdr:row>
          <xdr:rowOff>81643</xdr:rowOff>
        </xdr:to>
        <xdr:sp macro="" textlink="">
          <xdr:nvSpPr>
            <xdr:cNvPr id="21554" name="Object 50" hidden="1">
              <a:extLst>
                <a:ext uri="{63B3BB69-23CF-44E3-9099-C40C66FF867C}">
                  <a14:compatExt spid="_x0000_s21554"/>
                </a:ext>
                <a:ext uri="{FF2B5EF4-FFF2-40B4-BE49-F238E27FC236}">
                  <a16:creationId xmlns:a16="http://schemas.microsoft.com/office/drawing/2014/main" id="{00000000-0008-0000-0500-0000325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566057</xdr:colOff>
      <xdr:row>2</xdr:row>
      <xdr:rowOff>0</xdr:rowOff>
    </xdr:from>
    <xdr:to>
      <xdr:col>10</xdr:col>
      <xdr:colOff>332015</xdr:colOff>
      <xdr:row>27</xdr:row>
      <xdr:rowOff>0</xdr:rowOff>
    </xdr:to>
    <xdr:pic>
      <xdr:nvPicPr>
        <xdr:cNvPr id="2" name="Picture 1">
          <a:extLst>
            <a:ext uri="{FF2B5EF4-FFF2-40B4-BE49-F238E27FC236}">
              <a16:creationId xmlns:a16="http://schemas.microsoft.com/office/drawing/2014/main" id="{DFCBBAC6-D68F-EE2C-776B-35AE697B0D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6057" y="348341"/>
          <a:ext cx="6297387" cy="4463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615042</xdr:colOff>
      <xdr:row>3</xdr:row>
      <xdr:rowOff>13751</xdr:rowOff>
    </xdr:from>
    <xdr:to>
      <xdr:col>26</xdr:col>
      <xdr:colOff>125185</xdr:colOff>
      <xdr:row>27</xdr:row>
      <xdr:rowOff>38100</xdr:rowOff>
    </xdr:to>
    <xdr:pic>
      <xdr:nvPicPr>
        <xdr:cNvPr id="3" name="Picture 2">
          <a:extLst>
            <a:ext uri="{FF2B5EF4-FFF2-40B4-BE49-F238E27FC236}">
              <a16:creationId xmlns:a16="http://schemas.microsoft.com/office/drawing/2014/main" id="{764E36C8-F834-43A0-3CAA-0064E3D010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146471" y="383865"/>
          <a:ext cx="9960428" cy="44657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31</xdr:row>
      <xdr:rowOff>0</xdr:rowOff>
    </xdr:from>
    <xdr:to>
      <xdr:col>1</xdr:col>
      <xdr:colOff>304800</xdr:colOff>
      <xdr:row>32</xdr:row>
      <xdr:rowOff>121557</xdr:rowOff>
    </xdr:to>
    <xdr:sp macro="" textlink="">
      <xdr:nvSpPr>
        <xdr:cNvPr id="2049" name="AutoShape 1">
          <a:extLst>
            <a:ext uri="{FF2B5EF4-FFF2-40B4-BE49-F238E27FC236}">
              <a16:creationId xmlns:a16="http://schemas.microsoft.com/office/drawing/2014/main" id="{1EB36583-6EF3-0D00-6F18-0EA3CA6E50B2}"/>
            </a:ext>
          </a:extLst>
        </xdr:cNvPr>
        <xdr:cNvSpPr>
          <a:spLocks noChangeAspect="1" noChangeArrowheads="1"/>
        </xdr:cNvSpPr>
      </xdr:nvSpPr>
      <xdr:spPr bwMode="auto">
        <a:xfrm>
          <a:off x="653143" y="555171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620486</xdr:colOff>
      <xdr:row>29</xdr:row>
      <xdr:rowOff>5442</xdr:rowOff>
    </xdr:from>
    <xdr:to>
      <xdr:col>15</xdr:col>
      <xdr:colOff>576943</xdr:colOff>
      <xdr:row>81</xdr:row>
      <xdr:rowOff>141513</xdr:rowOff>
    </xdr:to>
    <xdr:pic>
      <xdr:nvPicPr>
        <xdr:cNvPr id="5" name="Picture 4">
          <a:extLst>
            <a:ext uri="{FF2B5EF4-FFF2-40B4-BE49-F238E27FC236}">
              <a16:creationId xmlns:a16="http://schemas.microsoft.com/office/drawing/2014/main" id="{789207AE-2480-5693-5EA3-094F718D1BC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20486" y="5187042"/>
          <a:ext cx="9753600" cy="9759042"/>
        </a:xfrm>
        <a:prstGeom prst="rect">
          <a:avLst/>
        </a:prstGeom>
      </xdr:spPr>
    </xdr:pic>
    <xdr:clientData/>
  </xdr:twoCellAnchor>
  <xdr:twoCellAnchor editAs="oneCell">
    <xdr:from>
      <xdr:col>0</xdr:col>
      <xdr:colOff>0</xdr:colOff>
      <xdr:row>1</xdr:row>
      <xdr:rowOff>0</xdr:rowOff>
    </xdr:from>
    <xdr:to>
      <xdr:col>0</xdr:col>
      <xdr:colOff>304800</xdr:colOff>
      <xdr:row>3</xdr:row>
      <xdr:rowOff>43543</xdr:rowOff>
    </xdr:to>
    <xdr:sp macro="" textlink="">
      <xdr:nvSpPr>
        <xdr:cNvPr id="2051" name="AutoShape 3">
          <a:extLst>
            <a:ext uri="{FF2B5EF4-FFF2-40B4-BE49-F238E27FC236}">
              <a16:creationId xmlns:a16="http://schemas.microsoft.com/office/drawing/2014/main" id="{17C98757-D29B-B8BC-D4FB-CE33CB34DEF6}"/>
            </a:ext>
          </a:extLst>
        </xdr:cNvPr>
        <xdr:cNvSpPr>
          <a:spLocks noChangeAspect="1" noChangeArrowheads="1"/>
        </xdr:cNvSpPr>
      </xdr:nvSpPr>
      <xdr:spPr bwMode="auto">
        <a:xfrm>
          <a:off x="0" y="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0</xdr:colOff>
      <xdr:row>21</xdr:row>
      <xdr:rowOff>0</xdr:rowOff>
    </xdr:from>
    <xdr:to>
      <xdr:col>15</xdr:col>
      <xdr:colOff>605841</xdr:colOff>
      <xdr:row>38</xdr:row>
      <xdr:rowOff>40772</xdr:rowOff>
    </xdr:to>
    <xdr:graphicFrame macro="">
      <xdr:nvGraphicFramePr>
        <xdr:cNvPr id="2" name="Chart 1">
          <a:extLst>
            <a:ext uri="{FF2B5EF4-FFF2-40B4-BE49-F238E27FC236}">
              <a16:creationId xmlns:a16="http://schemas.microsoft.com/office/drawing/2014/main" id="{20079A7C-5693-4DCD-B545-3C875A18A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F5496"/>
  </sheetPr>
  <dimension ref="A1:L102"/>
  <sheetViews>
    <sheetView showGridLines="0" tabSelected="1" workbookViewId="0">
      <selection activeCell="H31" sqref="H31"/>
    </sheetView>
  </sheetViews>
  <sheetFormatPr defaultColWidth="12.61328125" defaultRowHeight="15" customHeight="1" x14ac:dyDescent="0.4"/>
  <cols>
    <col min="1" max="4" width="7.69140625" customWidth="1"/>
    <col min="5" max="5" width="19.4609375" customWidth="1"/>
    <col min="6" max="6" width="40.3828125" customWidth="1"/>
    <col min="7" max="7" width="42.23046875" customWidth="1"/>
    <col min="8" max="8" width="41.61328125" customWidth="1"/>
    <col min="9" max="9" width="7.69140625" customWidth="1"/>
    <col min="10" max="10" width="6.3046875" customWidth="1"/>
    <col min="11" max="11" width="7.69140625" customWidth="1"/>
    <col min="12" max="12" width="3.765625" customWidth="1"/>
  </cols>
  <sheetData>
    <row r="1" spans="1:12" ht="8.15" customHeight="1" x14ac:dyDescent="0.4"/>
    <row r="2" spans="1:12" ht="14.25" customHeight="1" x14ac:dyDescent="0.5">
      <c r="A2" s="1" t="s">
        <v>0</v>
      </c>
      <c r="B2" s="2"/>
      <c r="C2" s="2"/>
      <c r="D2" s="2"/>
      <c r="E2" s="2"/>
      <c r="F2" s="3" t="s">
        <v>1</v>
      </c>
      <c r="G2" s="4" t="s">
        <v>2</v>
      </c>
      <c r="H2" s="5"/>
    </row>
    <row r="3" spans="1:12" ht="6.75" customHeight="1" x14ac:dyDescent="0.5">
      <c r="A3" s="6"/>
      <c r="B3" s="7"/>
      <c r="C3" s="7"/>
      <c r="D3" s="7"/>
      <c r="E3" s="7"/>
      <c r="F3" s="8"/>
      <c r="G3" s="9"/>
      <c r="H3" s="10"/>
      <c r="I3" s="11"/>
      <c r="J3" s="11"/>
    </row>
    <row r="4" spans="1:12" ht="18" customHeight="1" x14ac:dyDescent="0.5">
      <c r="A4" s="6" t="s">
        <v>3</v>
      </c>
      <c r="B4" s="7"/>
      <c r="C4" s="7"/>
      <c r="D4" s="7"/>
      <c r="E4" s="7"/>
      <c r="F4" s="12" t="s">
        <v>4</v>
      </c>
      <c r="G4" s="628" t="s">
        <v>678</v>
      </c>
      <c r="H4" s="629"/>
      <c r="I4" s="13"/>
      <c r="J4" s="13"/>
      <c r="K4" s="13"/>
      <c r="L4" s="13"/>
    </row>
    <row r="5" spans="1:12" ht="7.5" customHeight="1" x14ac:dyDescent="0.5">
      <c r="A5" s="14"/>
      <c r="B5" s="7"/>
      <c r="C5" s="7"/>
      <c r="D5" s="7"/>
      <c r="E5" s="7"/>
      <c r="F5" s="15"/>
      <c r="G5" s="16"/>
      <c r="H5" s="10"/>
    </row>
    <row r="6" spans="1:12" ht="14.25" customHeight="1" x14ac:dyDescent="0.5">
      <c r="A6" s="17" t="s">
        <v>5</v>
      </c>
      <c r="B6" s="18"/>
      <c r="C6" s="18"/>
      <c r="D6" s="18"/>
      <c r="E6" s="18"/>
      <c r="F6" s="12" t="s">
        <v>6</v>
      </c>
      <c r="G6" s="19">
        <v>46187</v>
      </c>
      <c r="H6" s="10"/>
    </row>
    <row r="7" spans="1:12" ht="5.25" customHeight="1" x14ac:dyDescent="0.4">
      <c r="F7" s="15"/>
      <c r="G7" s="16"/>
      <c r="H7" s="10"/>
    </row>
    <row r="8" spans="1:12" ht="18.45" x14ac:dyDescent="0.4">
      <c r="F8" s="20" t="s">
        <v>7</v>
      </c>
      <c r="G8" s="21" t="s">
        <v>8</v>
      </c>
      <c r="H8" s="22"/>
    </row>
    <row r="9" spans="1:12" ht="14.25" customHeight="1" x14ac:dyDescent="0.4">
      <c r="G9" s="23"/>
      <c r="H9" s="23"/>
    </row>
    <row r="10" spans="1:12" ht="14.25" customHeight="1" x14ac:dyDescent="0.4">
      <c r="G10" s="24"/>
      <c r="H10" s="24"/>
    </row>
    <row r="11" spans="1:12" ht="30.9" x14ac:dyDescent="0.4">
      <c r="F11" s="625" t="s">
        <v>9</v>
      </c>
      <c r="G11" s="626"/>
      <c r="H11" s="627"/>
    </row>
    <row r="12" spans="1:12" ht="14.6" x14ac:dyDescent="0.4"/>
    <row r="13" spans="1:12" ht="16.75" x14ac:dyDescent="0.4">
      <c r="D13" s="11"/>
      <c r="F13" s="25" t="s">
        <v>10</v>
      </c>
      <c r="G13" s="26"/>
      <c r="H13" s="26"/>
    </row>
    <row r="14" spans="1:12" ht="14.6" x14ac:dyDescent="0.4">
      <c r="F14" s="26"/>
      <c r="G14" s="26"/>
      <c r="H14" s="26"/>
    </row>
    <row r="15" spans="1:12" ht="15.9" x14ac:dyDescent="0.4">
      <c r="F15" s="27" t="s">
        <v>11</v>
      </c>
      <c r="G15" s="27" t="s">
        <v>12</v>
      </c>
      <c r="H15" s="27" t="s">
        <v>13</v>
      </c>
    </row>
    <row r="16" spans="1:12" ht="31.75" x14ac:dyDescent="0.4">
      <c r="F16" s="28" t="s">
        <v>14</v>
      </c>
      <c r="G16" s="29" t="s">
        <v>15</v>
      </c>
      <c r="H16" s="30" t="s">
        <v>679</v>
      </c>
    </row>
    <row r="17" spans="5:8" ht="14.6" x14ac:dyDescent="0.4">
      <c r="F17" s="26"/>
      <c r="G17" s="31"/>
      <c r="H17" s="26"/>
    </row>
    <row r="18" spans="5:8" ht="16.75" x14ac:dyDescent="0.4">
      <c r="F18" s="32" t="s">
        <v>16</v>
      </c>
      <c r="G18" s="26"/>
      <c r="H18" s="26"/>
    </row>
    <row r="19" spans="5:8" ht="14.6" x14ac:dyDescent="0.4">
      <c r="F19" s="26"/>
      <c r="G19" s="26"/>
      <c r="H19" s="26"/>
    </row>
    <row r="20" spans="5:8" ht="15.9" x14ac:dyDescent="0.4">
      <c r="F20" s="27" t="s">
        <v>11</v>
      </c>
      <c r="G20" s="27" t="s">
        <v>12</v>
      </c>
      <c r="H20" s="27" t="s">
        <v>13</v>
      </c>
    </row>
    <row r="21" spans="5:8" ht="31.75" x14ac:dyDescent="0.4">
      <c r="F21" s="28" t="s">
        <v>17</v>
      </c>
      <c r="G21" s="29" t="s">
        <v>18</v>
      </c>
      <c r="H21" s="30" t="s">
        <v>14</v>
      </c>
    </row>
    <row r="22" spans="5:8" ht="15.9" x14ac:dyDescent="0.4">
      <c r="F22" s="430" t="s">
        <v>572</v>
      </c>
      <c r="G22" s="29" t="s">
        <v>19</v>
      </c>
      <c r="H22" s="30" t="s">
        <v>14</v>
      </c>
    </row>
    <row r="23" spans="5:8" ht="15.9" x14ac:dyDescent="0.4">
      <c r="F23" s="28" t="s">
        <v>20</v>
      </c>
      <c r="G23" s="29" t="s">
        <v>21</v>
      </c>
      <c r="H23" s="30" t="s">
        <v>14</v>
      </c>
    </row>
    <row r="24" spans="5:8" ht="47.6" x14ac:dyDescent="0.4">
      <c r="F24" s="28" t="s">
        <v>663</v>
      </c>
      <c r="G24" s="609" t="s">
        <v>664</v>
      </c>
      <c r="H24" s="30"/>
    </row>
    <row r="25" spans="5:8" ht="31.75" x14ac:dyDescent="0.4">
      <c r="F25" s="28" t="s">
        <v>22</v>
      </c>
      <c r="G25" s="29" t="s">
        <v>23</v>
      </c>
      <c r="H25" s="30" t="s">
        <v>14</v>
      </c>
    </row>
    <row r="26" spans="5:8" ht="47.6" x14ac:dyDescent="0.4">
      <c r="F26" s="28" t="s">
        <v>578</v>
      </c>
      <c r="G26" s="29" t="s">
        <v>579</v>
      </c>
      <c r="H26" s="30"/>
    </row>
    <row r="27" spans="5:8" ht="14.6" x14ac:dyDescent="0.4">
      <c r="E27" s="11"/>
      <c r="F27" s="26"/>
      <c r="G27" s="26"/>
      <c r="H27" s="26"/>
    </row>
    <row r="28" spans="5:8" ht="16.75" x14ac:dyDescent="0.4">
      <c r="F28" s="33" t="s">
        <v>24</v>
      </c>
      <c r="G28" s="26"/>
      <c r="H28" s="26"/>
    </row>
    <row r="29" spans="5:8" ht="14.6" x14ac:dyDescent="0.4">
      <c r="F29" s="26"/>
      <c r="G29" s="26"/>
      <c r="H29" s="26"/>
    </row>
    <row r="30" spans="5:8" ht="15.9" x14ac:dyDescent="0.4">
      <c r="F30" s="27" t="s">
        <v>11</v>
      </c>
      <c r="G30" s="27" t="s">
        <v>12</v>
      </c>
      <c r="H30" s="27" t="s">
        <v>13</v>
      </c>
    </row>
    <row r="31" spans="5:8" ht="31.75" x14ac:dyDescent="0.4">
      <c r="F31" s="28" t="s">
        <v>25</v>
      </c>
      <c r="G31" s="29" t="s">
        <v>26</v>
      </c>
      <c r="H31" s="30" t="s">
        <v>14</v>
      </c>
    </row>
    <row r="32" spans="5:8" ht="15.9" x14ac:dyDescent="0.4">
      <c r="F32" s="28" t="s">
        <v>27</v>
      </c>
      <c r="G32" s="29" t="s">
        <v>28</v>
      </c>
      <c r="H32" s="30" t="s">
        <v>14</v>
      </c>
    </row>
    <row r="33" spans="6:8" ht="14.6" x14ac:dyDescent="0.4">
      <c r="F33" s="26"/>
      <c r="G33" s="26"/>
      <c r="H33" s="26"/>
    </row>
    <row r="34" spans="6:8" ht="16.75" x14ac:dyDescent="0.4">
      <c r="F34" s="34" t="s">
        <v>29</v>
      </c>
      <c r="G34" s="26"/>
      <c r="H34" s="26"/>
    </row>
    <row r="35" spans="6:8" ht="14.6" x14ac:dyDescent="0.4">
      <c r="F35" s="26"/>
      <c r="G35" s="26"/>
      <c r="H35" s="26"/>
    </row>
    <row r="36" spans="6:8" ht="14.6" x14ac:dyDescent="0.4">
      <c r="F36" s="35" t="s">
        <v>11</v>
      </c>
      <c r="G36" s="35" t="s">
        <v>12</v>
      </c>
      <c r="H36" s="35" t="s">
        <v>13</v>
      </c>
    </row>
    <row r="37" spans="6:8" ht="31.75" x14ac:dyDescent="0.4">
      <c r="F37" s="28" t="s">
        <v>30</v>
      </c>
      <c r="G37" s="29" t="s">
        <v>31</v>
      </c>
      <c r="H37" s="30" t="s">
        <v>14</v>
      </c>
    </row>
    <row r="38" spans="6:8" ht="15.9" x14ac:dyDescent="0.4">
      <c r="F38" s="28" t="s">
        <v>32</v>
      </c>
      <c r="G38" s="29" t="s">
        <v>33</v>
      </c>
      <c r="H38" s="30" t="s">
        <v>14</v>
      </c>
    </row>
    <row r="39" spans="6:8" ht="15.9" x14ac:dyDescent="0.4">
      <c r="F39" s="28" t="s">
        <v>34</v>
      </c>
      <c r="G39" s="29" t="s">
        <v>35</v>
      </c>
      <c r="H39" s="30" t="s">
        <v>14</v>
      </c>
    </row>
    <row r="40" spans="6:8" ht="15.9" x14ac:dyDescent="0.4">
      <c r="F40" s="28" t="s">
        <v>36</v>
      </c>
      <c r="G40" s="29" t="s">
        <v>37</v>
      </c>
      <c r="H40" s="30" t="s">
        <v>14</v>
      </c>
    </row>
    <row r="41" spans="6:8" ht="47.6" x14ac:dyDescent="0.4">
      <c r="F41" s="28" t="s">
        <v>38</v>
      </c>
      <c r="G41" s="29" t="s">
        <v>39</v>
      </c>
      <c r="H41" s="30" t="s">
        <v>40</v>
      </c>
    </row>
    <row r="42" spans="6:8" ht="31.75" x14ac:dyDescent="0.4">
      <c r="F42" s="28" t="s">
        <v>41</v>
      </c>
      <c r="G42" s="29" t="s">
        <v>42</v>
      </c>
      <c r="H42" s="30" t="s">
        <v>14</v>
      </c>
    </row>
    <row r="43" spans="6:8" ht="14.6" x14ac:dyDescent="0.4">
      <c r="F43" s="26"/>
      <c r="G43" s="26"/>
      <c r="H43" s="26"/>
    </row>
    <row r="44" spans="6:8" ht="16.75" x14ac:dyDescent="0.4">
      <c r="F44" s="36" t="s">
        <v>43</v>
      </c>
      <c r="G44" s="26"/>
      <c r="H44" s="26"/>
    </row>
    <row r="45" spans="6:8" ht="14.6" x14ac:dyDescent="0.4">
      <c r="F45" s="26"/>
      <c r="G45" s="26"/>
      <c r="H45" s="26"/>
    </row>
    <row r="46" spans="6:8" ht="15.9" x14ac:dyDescent="0.4">
      <c r="F46" s="27" t="s">
        <v>11</v>
      </c>
      <c r="G46" s="27" t="s">
        <v>12</v>
      </c>
      <c r="H46" s="27" t="s">
        <v>13</v>
      </c>
    </row>
    <row r="47" spans="6:8" ht="15.9" x14ac:dyDescent="0.4">
      <c r="F47" s="28" t="s">
        <v>44</v>
      </c>
      <c r="G47" s="29" t="s">
        <v>680</v>
      </c>
      <c r="H47" s="30" t="s">
        <v>14</v>
      </c>
    </row>
    <row r="48" spans="6:8" ht="15.9" x14ac:dyDescent="0.4">
      <c r="F48" s="28" t="s">
        <v>45</v>
      </c>
      <c r="G48" s="29" t="s">
        <v>681</v>
      </c>
      <c r="H48" s="30" t="s">
        <v>14</v>
      </c>
    </row>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row r="101" ht="14.25" customHeight="1" x14ac:dyDescent="0.4"/>
    <row r="102" ht="14.25" customHeight="1" x14ac:dyDescent="0.4"/>
  </sheetData>
  <mergeCells count="2">
    <mergeCell ref="F11:H11"/>
    <mergeCell ref="G4:H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D965"/>
  </sheetPr>
  <dimension ref="A1:Q104"/>
  <sheetViews>
    <sheetView topLeftCell="A2" workbookViewId="0">
      <selection activeCell="A28" sqref="A28"/>
    </sheetView>
  </sheetViews>
  <sheetFormatPr defaultColWidth="12.61328125" defaultRowHeight="15" customHeight="1" x14ac:dyDescent="0.4"/>
  <cols>
    <col min="1" max="1" width="40.765625" customWidth="1"/>
    <col min="2" max="2" width="17.53515625" customWidth="1"/>
    <col min="3" max="4" width="11.84375" customWidth="1"/>
    <col min="5" max="5" width="16.84375" customWidth="1"/>
    <col min="6" max="6" width="14" customWidth="1"/>
    <col min="7" max="7" width="13.3046875" customWidth="1"/>
    <col min="8" max="8" width="10.3828125" customWidth="1"/>
    <col min="9" max="10" width="11.84375" customWidth="1"/>
    <col min="11" max="11" width="12.15234375" customWidth="1"/>
    <col min="12" max="12" width="20.15234375" customWidth="1"/>
    <col min="13" max="13" width="11" customWidth="1"/>
    <col min="14" max="14" width="12.07421875" customWidth="1"/>
    <col min="15" max="15" width="14.23046875" customWidth="1"/>
    <col min="16" max="17" width="9.3828125" customWidth="1"/>
  </cols>
  <sheetData>
    <row r="1" spans="1:16" ht="15" customHeight="1" x14ac:dyDescent="0.5">
      <c r="A1" s="645" t="s">
        <v>46</v>
      </c>
      <c r="B1" s="649"/>
      <c r="C1" s="649"/>
    </row>
    <row r="2" spans="1:16" ht="14.25" customHeight="1" thickBot="1" x14ac:dyDescent="0.45">
      <c r="E2" s="119"/>
      <c r="F2" s="119"/>
      <c r="G2" s="119"/>
      <c r="H2" s="119"/>
      <c r="I2" s="39"/>
      <c r="J2" s="39"/>
    </row>
    <row r="3" spans="1:16" ht="14.25" customHeight="1" x14ac:dyDescent="0.45">
      <c r="A3" s="657" t="s">
        <v>345</v>
      </c>
      <c r="B3" s="658"/>
      <c r="C3" s="658"/>
      <c r="D3" s="659"/>
      <c r="E3" s="264" t="s">
        <v>346</v>
      </c>
      <c r="F3" s="265">
        <f>347/12</f>
        <v>28.916666666666668</v>
      </c>
      <c r="G3" s="119"/>
      <c r="H3" s="266"/>
      <c r="I3" s="39"/>
      <c r="J3" s="39"/>
    </row>
    <row r="4" spans="1:16" ht="14.25" customHeight="1" x14ac:dyDescent="0.4">
      <c r="A4" s="215"/>
      <c r="B4" s="267" t="s">
        <v>347</v>
      </c>
      <c r="C4" s="268" t="s">
        <v>348</v>
      </c>
      <c r="D4" s="268" t="s">
        <v>349</v>
      </c>
      <c r="E4" s="268" t="s">
        <v>350</v>
      </c>
      <c r="F4" s="268" t="s">
        <v>351</v>
      </c>
      <c r="G4" s="268" t="s">
        <v>352</v>
      </c>
      <c r="H4" s="268" t="s">
        <v>353</v>
      </c>
      <c r="I4" s="269" t="s">
        <v>354</v>
      </c>
      <c r="J4" s="270" t="s">
        <v>355</v>
      </c>
      <c r="K4" s="270" t="s">
        <v>356</v>
      </c>
      <c r="L4" s="270" t="s">
        <v>357</v>
      </c>
      <c r="M4" s="269" t="s">
        <v>172</v>
      </c>
      <c r="N4" s="271" t="s">
        <v>358</v>
      </c>
      <c r="O4" s="271" t="s">
        <v>359</v>
      </c>
    </row>
    <row r="5" spans="1:16" ht="14.25" customHeight="1" x14ac:dyDescent="0.4">
      <c r="A5" s="215" t="s">
        <v>360</v>
      </c>
      <c r="B5" s="272">
        <f>'Budget First 84 months'!D5</f>
        <v>1250</v>
      </c>
      <c r="C5" s="268"/>
      <c r="D5" s="268"/>
      <c r="E5" s="268"/>
      <c r="F5" s="268"/>
      <c r="G5" s="268"/>
      <c r="H5" s="268"/>
      <c r="I5" s="269"/>
      <c r="J5" s="270"/>
      <c r="K5" s="270"/>
      <c r="L5" s="270"/>
      <c r="M5" s="269"/>
      <c r="N5" s="269"/>
      <c r="O5" s="416" t="s">
        <v>361</v>
      </c>
      <c r="P5" s="417"/>
    </row>
    <row r="6" spans="1:16" ht="14.25" customHeight="1" x14ac:dyDescent="0.55000000000000004">
      <c r="A6" s="273" t="s">
        <v>362</v>
      </c>
      <c r="B6" s="274">
        <v>4200</v>
      </c>
      <c r="C6" s="275">
        <v>448.5</v>
      </c>
      <c r="D6" s="276">
        <f>E6*3.785</f>
        <v>14973.460000000001</v>
      </c>
      <c r="E6" s="276">
        <v>3956</v>
      </c>
      <c r="F6" s="277">
        <f>E6*0.000265</f>
        <v>1.04834</v>
      </c>
      <c r="G6" s="278">
        <f>F6*28.9</f>
        <v>30.297025999999999</v>
      </c>
      <c r="H6" s="276">
        <f>G6*12</f>
        <v>363.56431199999997</v>
      </c>
      <c r="I6" s="499">
        <v>9000</v>
      </c>
      <c r="J6" s="280">
        <v>3000</v>
      </c>
      <c r="K6" s="280">
        <f>(I6+J6)*F6</f>
        <v>12580.08</v>
      </c>
      <c r="L6" s="280">
        <f>K6*0.7225</f>
        <v>9089.1077999999998</v>
      </c>
      <c r="M6" s="279">
        <f>L6*$F$3</f>
        <v>262826.70055000001</v>
      </c>
      <c r="N6" s="281">
        <f>M6*12</f>
        <v>3153920.4066000003</v>
      </c>
      <c r="O6" s="600">
        <f>N6/$N$18</f>
        <v>0.18583792595601378</v>
      </c>
    </row>
    <row r="7" spans="1:16" ht="14.25" customHeight="1" x14ac:dyDescent="0.4">
      <c r="A7" s="282"/>
      <c r="B7" s="283" t="s">
        <v>363</v>
      </c>
      <c r="C7" s="284"/>
      <c r="D7" s="213"/>
      <c r="E7" s="213"/>
      <c r="F7" s="285"/>
      <c r="G7" s="286"/>
      <c r="H7" s="213"/>
      <c r="I7" s="477"/>
      <c r="J7" s="288"/>
      <c r="K7" s="288"/>
      <c r="L7" s="288"/>
      <c r="M7" s="287"/>
      <c r="N7" s="289"/>
      <c r="O7" s="601"/>
    </row>
    <row r="8" spans="1:16" ht="14.25" customHeight="1" x14ac:dyDescent="0.4">
      <c r="A8" s="273" t="s">
        <v>365</v>
      </c>
      <c r="B8" s="471">
        <v>6.1600000000000002E-2</v>
      </c>
      <c r="C8" s="275">
        <f>B$5*B8</f>
        <v>77</v>
      </c>
      <c r="D8" s="276">
        <f>C8*37.56</f>
        <v>2892.1200000000003</v>
      </c>
      <c r="E8" s="276">
        <f>D8/3.7854</f>
        <v>764.0196544618799</v>
      </c>
      <c r="F8" s="277">
        <f>E8*0.000476</f>
        <v>0.36367335552385482</v>
      </c>
      <c r="G8" s="278">
        <f>F8*28.9</f>
        <v>10.510159974639404</v>
      </c>
      <c r="H8" s="276">
        <f>G8*12</f>
        <v>126.12191969567284</v>
      </c>
      <c r="I8" s="499">
        <v>95000</v>
      </c>
      <c r="J8" s="280"/>
      <c r="K8" s="280">
        <f>I8*F8</f>
        <v>34548.96877476621</v>
      </c>
      <c r="L8" s="280">
        <f>K8*0.7225</f>
        <v>24961.629939768587</v>
      </c>
      <c r="M8" s="279">
        <f>L8*$F$3</f>
        <v>721807.13242497505</v>
      </c>
      <c r="N8" s="281">
        <f>M8*12</f>
        <v>8661685.5890997015</v>
      </c>
      <c r="O8" s="604">
        <f t="shared" ref="O8:O16" si="0">N8/$N$18</f>
        <v>0.51037105495526547</v>
      </c>
      <c r="P8" s="606"/>
    </row>
    <row r="9" spans="1:16" ht="14.25" customHeight="1" x14ac:dyDescent="0.55000000000000004">
      <c r="A9" s="282" t="s">
        <v>364</v>
      </c>
      <c r="B9" s="471">
        <v>4.0000000000000001E-3</v>
      </c>
      <c r="C9" s="284">
        <f t="shared" ref="C9:C14" si="1">B$5*B9</f>
        <v>5</v>
      </c>
      <c r="D9" s="286">
        <f>C9*33.4</f>
        <v>167</v>
      </c>
      <c r="E9" s="213">
        <f t="shared" ref="E9:E16" si="2">D9/3.7854</f>
        <v>44.116870079780206</v>
      </c>
      <c r="F9" s="496">
        <f>E9*0.000265</f>
        <v>1.1690970571141754E-2</v>
      </c>
      <c r="G9" s="286">
        <f t="shared" ref="G9:G16" si="3">F9*28.9</f>
        <v>0.33786904950599667</v>
      </c>
      <c r="H9" s="285">
        <f t="shared" ref="H9:H16" si="4">G9*12</f>
        <v>4.0544285940719602</v>
      </c>
      <c r="I9" s="477">
        <v>3000</v>
      </c>
      <c r="J9" s="497"/>
      <c r="K9" s="497">
        <f>(I9+J9)*F9</f>
        <v>35.072911713425263</v>
      </c>
      <c r="L9" s="497">
        <f t="shared" ref="L9:L16" si="5">K9*0.7225</f>
        <v>25.340178712949754</v>
      </c>
      <c r="M9" s="287">
        <f t="shared" ref="M9:M14" si="6">L9*$F$3</f>
        <v>732.75350111613045</v>
      </c>
      <c r="N9" s="289">
        <f t="shared" ref="N9:N16" si="7">M9*12</f>
        <v>8793.0420133935659</v>
      </c>
      <c r="O9" s="605">
        <f t="shared" si="0"/>
        <v>5.1811094763000974E-4</v>
      </c>
      <c r="P9" s="417"/>
    </row>
    <row r="10" spans="1:16" ht="14.25" customHeight="1" x14ac:dyDescent="0.55000000000000004">
      <c r="A10" s="273" t="s">
        <v>366</v>
      </c>
      <c r="B10" s="471">
        <v>0.27260000000000001</v>
      </c>
      <c r="C10" s="275">
        <f t="shared" si="1"/>
        <v>340.75</v>
      </c>
      <c r="D10" s="276">
        <f>C10*18.78</f>
        <v>6399.2850000000008</v>
      </c>
      <c r="E10" s="276">
        <f t="shared" si="2"/>
        <v>1690.5175146615948</v>
      </c>
      <c r="F10" s="277">
        <f>E10*0.004167</f>
        <v>7.0443864835948649</v>
      </c>
      <c r="G10" s="278">
        <f t="shared" si="3"/>
        <v>203.58276937589159</v>
      </c>
      <c r="H10" s="276">
        <f t="shared" si="4"/>
        <v>2442.9932325106993</v>
      </c>
      <c r="I10" s="499">
        <v>840</v>
      </c>
      <c r="J10" s="280">
        <v>85</v>
      </c>
      <c r="K10" s="280">
        <f>(I10+J10)*F10</f>
        <v>6516.0574973252496</v>
      </c>
      <c r="L10" s="280">
        <f t="shared" si="5"/>
        <v>4707.8515418174929</v>
      </c>
      <c r="M10" s="279">
        <f t="shared" si="6"/>
        <v>136135.37375088918</v>
      </c>
      <c r="N10" s="281">
        <f t="shared" si="7"/>
        <v>1633624.48501067</v>
      </c>
      <c r="O10" s="604">
        <f t="shared" si="0"/>
        <v>9.6257782996058694E-2</v>
      </c>
      <c r="P10" s="606"/>
    </row>
    <row r="11" spans="1:16" ht="14.25" customHeight="1" x14ac:dyDescent="0.55000000000000004">
      <c r="A11" s="282" t="s">
        <v>367</v>
      </c>
      <c r="B11" s="471">
        <v>0.11609999999999999</v>
      </c>
      <c r="C11" s="284">
        <f t="shared" si="1"/>
        <v>145.125</v>
      </c>
      <c r="D11" s="213">
        <f>C11*32.94</f>
        <v>4780.4174999999996</v>
      </c>
      <c r="E11" s="213">
        <f t="shared" si="2"/>
        <v>1262.8566333808842</v>
      </c>
      <c r="F11" s="285">
        <f>E11*0.003557</f>
        <v>4.4919810449358053</v>
      </c>
      <c r="G11" s="286">
        <f t="shared" si="3"/>
        <v>129.81825219864476</v>
      </c>
      <c r="H11" s="213">
        <f t="shared" si="4"/>
        <v>1557.8190263837371</v>
      </c>
      <c r="I11" s="477">
        <v>350</v>
      </c>
      <c r="J11" s="288"/>
      <c r="K11" s="288">
        <f t="shared" ref="K11:K14" si="8">I11*F11</f>
        <v>1572.193365727532</v>
      </c>
      <c r="L11" s="288">
        <f t="shared" si="5"/>
        <v>1135.9097067381419</v>
      </c>
      <c r="M11" s="287">
        <f t="shared" si="6"/>
        <v>32846.722353177938</v>
      </c>
      <c r="N11" s="289">
        <f t="shared" si="7"/>
        <v>394160.66823813529</v>
      </c>
      <c r="O11" s="601">
        <f t="shared" si="0"/>
        <v>2.3225063297579125E-2</v>
      </c>
    </row>
    <row r="12" spans="1:16" ht="14.25" customHeight="1" x14ac:dyDescent="0.55000000000000004">
      <c r="A12" s="273" t="s">
        <v>368</v>
      </c>
      <c r="B12" s="471">
        <v>0.51500000000000001</v>
      </c>
      <c r="C12" s="275">
        <f t="shared" si="1"/>
        <v>643.75</v>
      </c>
      <c r="D12" s="276">
        <f>C12*40.86</f>
        <v>26303.625</v>
      </c>
      <c r="E12" s="276">
        <f t="shared" si="2"/>
        <v>6948.7042320494529</v>
      </c>
      <c r="F12" s="277">
        <f>E12*0.002867</f>
        <v>19.921935033285784</v>
      </c>
      <c r="G12" s="278">
        <f t="shared" si="3"/>
        <v>575.74392246195919</v>
      </c>
      <c r="H12" s="276">
        <f t="shared" si="4"/>
        <v>6908.9270695435098</v>
      </c>
      <c r="I12" s="499">
        <v>210</v>
      </c>
      <c r="J12" s="280"/>
      <c r="K12" s="280">
        <f t="shared" si="8"/>
        <v>4183.6063569900143</v>
      </c>
      <c r="L12" s="280">
        <f t="shared" si="5"/>
        <v>3022.6555929252854</v>
      </c>
      <c r="M12" s="279">
        <f t="shared" si="6"/>
        <v>87405.124228756176</v>
      </c>
      <c r="N12" s="281">
        <f t="shared" si="7"/>
        <v>1048861.4907450741</v>
      </c>
      <c r="O12" s="600">
        <f t="shared" si="0"/>
        <v>6.1801890639758952E-2</v>
      </c>
    </row>
    <row r="13" spans="1:16" ht="14.25" customHeight="1" x14ac:dyDescent="0.4">
      <c r="A13" s="282" t="s">
        <v>369</v>
      </c>
      <c r="B13" s="471">
        <v>1E-3</v>
      </c>
      <c r="C13" s="284">
        <f t="shared" si="1"/>
        <v>1.25</v>
      </c>
      <c r="D13" s="213">
        <f>C13*19.59</f>
        <v>24.487500000000001</v>
      </c>
      <c r="E13" s="213">
        <f t="shared" si="2"/>
        <v>6.4689332699318438</v>
      </c>
      <c r="F13" s="285">
        <f>E13*0.005981</f>
        <v>3.8690689887462361E-2</v>
      </c>
      <c r="G13" s="286">
        <f t="shared" si="3"/>
        <v>1.1181609377476622</v>
      </c>
      <c r="H13" s="213">
        <f t="shared" si="4"/>
        <v>13.417931252971947</v>
      </c>
      <c r="I13" s="476">
        <v>200000</v>
      </c>
      <c r="J13" s="288"/>
      <c r="K13" s="288">
        <f t="shared" si="8"/>
        <v>7738.1379774924726</v>
      </c>
      <c r="L13" s="288">
        <f t="shared" si="5"/>
        <v>5590.8046887383116</v>
      </c>
      <c r="M13" s="287">
        <f t="shared" si="6"/>
        <v>161667.43558268284</v>
      </c>
      <c r="N13" s="289">
        <f t="shared" si="7"/>
        <v>1940009.2269921941</v>
      </c>
      <c r="O13" s="601">
        <f t="shared" si="0"/>
        <v>0.11431084003429741</v>
      </c>
    </row>
    <row r="14" spans="1:16" ht="14.25" customHeight="1" thickBot="1" x14ac:dyDescent="0.45">
      <c r="A14" s="273" t="s">
        <v>370</v>
      </c>
      <c r="B14" s="471">
        <v>1.41E-2</v>
      </c>
      <c r="C14" s="275">
        <f t="shared" si="1"/>
        <v>17.625</v>
      </c>
      <c r="D14" s="276">
        <f>C14*33.71</f>
        <v>594.13874999999996</v>
      </c>
      <c r="E14" s="276">
        <f t="shared" si="2"/>
        <v>156.955341575527</v>
      </c>
      <c r="F14" s="277">
        <f>E14*0.003476</f>
        <v>0.54557676731653182</v>
      </c>
      <c r="G14" s="290">
        <f t="shared" si="3"/>
        <v>15.767168575447769</v>
      </c>
      <c r="H14" s="291">
        <f t="shared" si="4"/>
        <v>189.20602290537323</v>
      </c>
      <c r="I14" s="499">
        <v>700</v>
      </c>
      <c r="J14" s="292"/>
      <c r="K14" s="292">
        <f t="shared" si="8"/>
        <v>381.90373712157225</v>
      </c>
      <c r="L14" s="292">
        <f t="shared" si="5"/>
        <v>275.92545007033596</v>
      </c>
      <c r="M14" s="292">
        <f t="shared" si="6"/>
        <v>7978.8442645338819</v>
      </c>
      <c r="N14" s="281">
        <f t="shared" si="7"/>
        <v>95746.13117440659</v>
      </c>
      <c r="O14" s="600">
        <f t="shared" si="0"/>
        <v>5.6416333140587097E-3</v>
      </c>
    </row>
    <row r="15" spans="1:16" ht="17.149999999999999" x14ac:dyDescent="0.55000000000000004">
      <c r="A15" s="470" t="s">
        <v>604</v>
      </c>
      <c r="B15" s="471">
        <v>1.11E-2</v>
      </c>
      <c r="C15" s="472">
        <f>B$5*B15</f>
        <v>13.875</v>
      </c>
      <c r="D15" s="473">
        <f>C15*47.19</f>
        <v>654.76125000000002</v>
      </c>
      <c r="E15" s="473">
        <f t="shared" si="2"/>
        <v>172.97016167379934</v>
      </c>
      <c r="F15" s="474">
        <f>E15*0.003483</f>
        <v>0.60245507310984314</v>
      </c>
      <c r="G15" s="475">
        <f t="shared" si="3"/>
        <v>17.410951612874467</v>
      </c>
      <c r="H15" s="473">
        <f t="shared" si="4"/>
        <v>208.93141935449358</v>
      </c>
      <c r="I15" s="476">
        <v>225</v>
      </c>
      <c r="J15" s="476"/>
      <c r="K15" s="476">
        <f t="shared" ref="K15:K16" si="9">(I15+J15)*F15</f>
        <v>135.55239144971472</v>
      </c>
      <c r="L15" s="476">
        <f t="shared" si="5"/>
        <v>97.936602822418891</v>
      </c>
      <c r="M15" s="500">
        <f>L15*$F$3</f>
        <v>2832.0000982816132</v>
      </c>
      <c r="N15" s="478">
        <f t="shared" si="7"/>
        <v>33984.00117937936</v>
      </c>
      <c r="O15" s="601">
        <f t="shared" si="0"/>
        <v>2.0024336320112975E-3</v>
      </c>
    </row>
    <row r="16" spans="1:16" s="422" customFormat="1" ht="17.149999999999999" x14ac:dyDescent="0.55000000000000004">
      <c r="A16" s="479" t="s">
        <v>605</v>
      </c>
      <c r="B16" s="480">
        <v>2.9999999999999997E-4</v>
      </c>
      <c r="C16" s="481">
        <f>B$5*B16</f>
        <v>0.37499999999999994</v>
      </c>
      <c r="D16" s="482">
        <f>C16*66.61</f>
        <v>24.978749999999994</v>
      </c>
      <c r="E16" s="482">
        <f t="shared" si="2"/>
        <v>6.5987081946425725</v>
      </c>
      <c r="F16" s="483">
        <f>E16*0.001759</f>
        <v>1.1607127714376284E-2</v>
      </c>
      <c r="G16" s="484">
        <f t="shared" si="3"/>
        <v>0.33544599094547461</v>
      </c>
      <c r="H16" s="482">
        <f t="shared" si="4"/>
        <v>4.0253518913456956</v>
      </c>
      <c r="I16" s="485">
        <v>194</v>
      </c>
      <c r="J16" s="486"/>
      <c r="K16" s="485">
        <f t="shared" si="9"/>
        <v>2.2517827765889993</v>
      </c>
      <c r="L16" s="485">
        <f t="shared" si="5"/>
        <v>1.626913056085552</v>
      </c>
      <c r="M16" s="487">
        <f t="shared" ref="M16" si="10">L16*$F$3</f>
        <v>47.044902538473885</v>
      </c>
      <c r="N16" s="487">
        <f t="shared" si="7"/>
        <v>564.53883046168664</v>
      </c>
      <c r="O16" s="607">
        <f t="shared" si="0"/>
        <v>3.3264227326437797E-5</v>
      </c>
    </row>
    <row r="17" spans="1:17" thickBot="1" x14ac:dyDescent="0.45">
      <c r="A17" s="488" t="s">
        <v>609</v>
      </c>
      <c r="B17" s="489">
        <v>4.0000000000000001E-3</v>
      </c>
      <c r="C17" s="490">
        <f>B$5*B17</f>
        <v>5</v>
      </c>
      <c r="D17" s="491"/>
      <c r="E17" s="491"/>
      <c r="F17" s="492"/>
      <c r="G17" s="493"/>
      <c r="H17" s="491"/>
      <c r="I17" s="494"/>
      <c r="J17" s="494"/>
      <c r="K17" s="494"/>
      <c r="L17" s="494"/>
      <c r="M17" s="494"/>
      <c r="N17" s="495"/>
      <c r="O17" s="602"/>
    </row>
    <row r="18" spans="1:17" ht="14.25" customHeight="1" thickBot="1" x14ac:dyDescent="0.45">
      <c r="A18" s="293" t="s">
        <v>60</v>
      </c>
      <c r="B18" s="501">
        <f>SUM(B8:B17)</f>
        <v>0.99980000000000002</v>
      </c>
      <c r="C18" s="498">
        <f>SUM(C8:C17)</f>
        <v>1249.75</v>
      </c>
      <c r="D18" s="245"/>
      <c r="E18" s="245"/>
      <c r="F18" s="245"/>
      <c r="G18" s="109"/>
      <c r="H18" s="109"/>
      <c r="I18" s="181"/>
      <c r="J18" s="181"/>
      <c r="K18" s="294">
        <f>SUM(K6:K14)</f>
        <v>67556.020621136471</v>
      </c>
      <c r="L18" s="295">
        <f>SUM(L6:L14)</f>
        <v>48809.224898771106</v>
      </c>
      <c r="M18" s="116">
        <f>SUM(M6:M15)</f>
        <v>1414232.0867544124</v>
      </c>
      <c r="N18" s="263">
        <f>SUM(N6:N16)</f>
        <v>16971349.579883419</v>
      </c>
      <c r="O18" s="603">
        <f>SUM(O6:O16)</f>
        <v>0.99999999999999978</v>
      </c>
    </row>
    <row r="19" spans="1:17" ht="14.25" customHeight="1" thickBot="1" x14ac:dyDescent="0.45">
      <c r="A19" s="502" t="s">
        <v>606</v>
      </c>
      <c r="B19" s="296"/>
      <c r="C19" s="297"/>
      <c r="D19" s="206"/>
      <c r="E19" s="206"/>
      <c r="F19" s="298"/>
      <c r="G19" s="245"/>
      <c r="H19" s="245"/>
      <c r="I19" s="245"/>
      <c r="J19" s="245"/>
      <c r="K19" s="257">
        <f>K18</f>
        <v>67556.020621136471</v>
      </c>
      <c r="L19" s="245" t="s">
        <v>371</v>
      </c>
      <c r="M19" s="245"/>
      <c r="N19" s="281"/>
      <c r="O19" s="26"/>
    </row>
    <row r="20" spans="1:17" ht="14.25" customHeight="1" thickBot="1" x14ac:dyDescent="0.45">
      <c r="A20" s="299"/>
      <c r="B20" s="300"/>
      <c r="C20" s="301"/>
      <c r="D20" s="229"/>
      <c r="E20" s="302"/>
      <c r="F20" s="303"/>
      <c r="G20" s="298"/>
      <c r="H20" s="298"/>
      <c r="I20" s="298"/>
      <c r="J20" s="298"/>
      <c r="K20" s="304">
        <f>M18</f>
        <v>1414232.0867544124</v>
      </c>
      <c r="L20" s="298" t="s">
        <v>372</v>
      </c>
      <c r="M20" s="298"/>
      <c r="N20" s="298"/>
      <c r="O20" s="298"/>
    </row>
    <row r="21" spans="1:17" ht="14.25" customHeight="1" x14ac:dyDescent="0.45">
      <c r="A21" s="305"/>
      <c r="B21" s="660" t="s">
        <v>373</v>
      </c>
      <c r="D21" s="247"/>
      <c r="E21" s="119"/>
      <c r="F21" s="119"/>
      <c r="G21" s="119"/>
      <c r="H21" s="119"/>
      <c r="I21" s="39"/>
      <c r="J21" s="39"/>
      <c r="K21" s="306">
        <f>N18</f>
        <v>16971349.579883419</v>
      </c>
      <c r="L21" s="307" t="s">
        <v>374</v>
      </c>
    </row>
    <row r="22" spans="1:17" ht="14.25" customHeight="1" thickBot="1" x14ac:dyDescent="0.5">
      <c r="A22" s="308" t="s">
        <v>375</v>
      </c>
      <c r="B22" s="661"/>
      <c r="D22" s="247" t="s">
        <v>376</v>
      </c>
      <c r="E22" s="247"/>
      <c r="F22" s="38"/>
      <c r="G22" s="38"/>
      <c r="H22" s="119"/>
      <c r="I22" s="39"/>
      <c r="J22" s="39"/>
      <c r="K22" s="24"/>
    </row>
    <row r="23" spans="1:17" ht="14.25" customHeight="1" thickBot="1" x14ac:dyDescent="0.6">
      <c r="A23" s="468" t="s">
        <v>607</v>
      </c>
      <c r="B23" s="309">
        <f>SUM(M9:M16)</f>
        <v>429645.29868197622</v>
      </c>
      <c r="C23" s="119"/>
      <c r="E23" s="247"/>
      <c r="F23" s="119"/>
      <c r="G23" s="38"/>
      <c r="H23" s="119"/>
      <c r="I23" s="39"/>
      <c r="J23" s="39"/>
      <c r="K23" s="24"/>
      <c r="L23" s="139" t="s">
        <v>377</v>
      </c>
    </row>
    <row r="24" spans="1:17" ht="14.25" customHeight="1" x14ac:dyDescent="0.4">
      <c r="E24" s="247"/>
      <c r="F24" s="119"/>
      <c r="G24" s="310"/>
      <c r="H24" s="119"/>
      <c r="I24" s="39"/>
      <c r="J24" s="39"/>
      <c r="K24" s="24"/>
    </row>
    <row r="25" spans="1:17" ht="14.25" customHeight="1" x14ac:dyDescent="0.45">
      <c r="A25" s="311" t="s">
        <v>608</v>
      </c>
      <c r="B25" s="311"/>
      <c r="C25" s="311"/>
      <c r="D25" s="311"/>
      <c r="E25" s="311"/>
      <c r="F25" s="311"/>
      <c r="G25" s="311"/>
      <c r="H25" s="311"/>
      <c r="I25" s="311"/>
      <c r="J25" s="311"/>
      <c r="K25" s="311"/>
      <c r="L25" s="311"/>
      <c r="M25" s="311"/>
      <c r="N25" s="312"/>
      <c r="O25" s="312"/>
      <c r="P25" s="312"/>
      <c r="Q25" s="312"/>
    </row>
    <row r="26" spans="1:17" ht="14.25" customHeight="1" x14ac:dyDescent="0.4">
      <c r="D26" s="24"/>
      <c r="E26" s="119"/>
      <c r="F26" s="313"/>
      <c r="G26" s="310"/>
      <c r="H26" s="314"/>
      <c r="I26" s="39"/>
      <c r="J26" s="39"/>
    </row>
    <row r="27" spans="1:17" ht="14.25" customHeight="1" x14ac:dyDescent="0.4">
      <c r="D27" s="315"/>
      <c r="E27" s="38"/>
      <c r="F27" s="313"/>
      <c r="G27" s="310"/>
      <c r="H27" s="247"/>
      <c r="I27" s="39"/>
      <c r="J27" s="39"/>
      <c r="L27" s="119"/>
    </row>
    <row r="28" spans="1:17" ht="14.25" customHeight="1" x14ac:dyDescent="0.4">
      <c r="C28" s="247"/>
      <c r="D28" s="77"/>
      <c r="E28" s="316"/>
      <c r="F28" s="313"/>
      <c r="G28" s="38"/>
      <c r="H28" s="247"/>
      <c r="I28" s="39"/>
      <c r="J28" s="39"/>
      <c r="L28" s="258"/>
    </row>
    <row r="29" spans="1:17" ht="14.25" customHeight="1" x14ac:dyDescent="0.4">
      <c r="D29" s="119"/>
      <c r="E29" s="247"/>
      <c r="F29" s="313"/>
      <c r="G29" s="310"/>
      <c r="H29" s="247"/>
      <c r="I29" s="119"/>
      <c r="J29" s="119"/>
      <c r="L29" s="119"/>
    </row>
    <row r="30" spans="1:17" ht="14.25" customHeight="1" x14ac:dyDescent="0.4">
      <c r="E30" s="247"/>
      <c r="F30" s="313"/>
      <c r="G30" s="310"/>
      <c r="H30" s="119"/>
      <c r="I30" s="317"/>
      <c r="J30" s="317"/>
    </row>
    <row r="31" spans="1:17" ht="14.25" customHeight="1" x14ac:dyDescent="0.4">
      <c r="E31" s="119"/>
      <c r="F31" s="119"/>
      <c r="G31" s="310"/>
      <c r="H31" s="318"/>
      <c r="I31" s="39"/>
      <c r="J31" s="39"/>
    </row>
    <row r="32" spans="1:17" ht="14.25" customHeight="1" x14ac:dyDescent="0.4">
      <c r="E32" s="119"/>
      <c r="F32" s="119"/>
      <c r="G32" s="119"/>
      <c r="H32" s="318"/>
      <c r="I32" s="39"/>
      <c r="J32" s="39"/>
    </row>
    <row r="33" spans="2:10" ht="14.25" customHeight="1" x14ac:dyDescent="0.4">
      <c r="B33" s="319"/>
      <c r="E33" s="119"/>
      <c r="F33" s="119"/>
      <c r="G33" s="119"/>
      <c r="H33" s="119"/>
      <c r="I33" s="39"/>
      <c r="J33" s="39"/>
    </row>
    <row r="34" spans="2:10" ht="14.25" customHeight="1" x14ac:dyDescent="0.4">
      <c r="B34" s="319"/>
      <c r="E34" s="119"/>
      <c r="F34" s="119"/>
      <c r="G34" s="119"/>
      <c r="H34" s="119"/>
      <c r="I34" s="39"/>
      <c r="J34" s="39"/>
    </row>
    <row r="35" spans="2:10" ht="14.25" customHeight="1" x14ac:dyDescent="0.4">
      <c r="B35" s="119"/>
      <c r="E35" s="119"/>
      <c r="F35" s="119"/>
      <c r="G35" s="119"/>
      <c r="H35" s="119"/>
      <c r="I35" s="39"/>
      <c r="J35" s="39"/>
    </row>
    <row r="36" spans="2:10" ht="14.25" customHeight="1" x14ac:dyDescent="0.4">
      <c r="B36" s="119"/>
      <c r="E36" s="119"/>
      <c r="F36" s="119"/>
      <c r="G36" s="119"/>
      <c r="H36" s="119"/>
      <c r="I36" s="39"/>
      <c r="J36" s="39"/>
    </row>
    <row r="37" spans="2:10" ht="14.25" customHeight="1" x14ac:dyDescent="0.4">
      <c r="E37" s="119"/>
      <c r="F37" s="119"/>
      <c r="G37" s="119"/>
      <c r="H37" s="119"/>
      <c r="I37" s="39"/>
      <c r="J37" s="39"/>
    </row>
    <row r="38" spans="2:10" ht="14.25" customHeight="1" x14ac:dyDescent="0.4">
      <c r="E38" s="119"/>
      <c r="F38" s="119"/>
      <c r="G38" s="119"/>
      <c r="H38" s="119"/>
      <c r="I38" s="39"/>
      <c r="J38" s="39"/>
    </row>
    <row r="39" spans="2:10" ht="14.25" customHeight="1" x14ac:dyDescent="0.4">
      <c r="E39" s="119"/>
      <c r="F39" s="119"/>
      <c r="G39" s="119"/>
      <c r="H39" s="119"/>
      <c r="I39" s="39"/>
      <c r="J39" s="39"/>
    </row>
    <row r="40" spans="2:10" ht="14.25" customHeight="1" x14ac:dyDescent="0.4">
      <c r="E40" s="119"/>
      <c r="F40" s="119"/>
      <c r="G40" s="119"/>
      <c r="H40" s="119"/>
      <c r="I40" s="39"/>
      <c r="J40" s="39"/>
    </row>
    <row r="41" spans="2:10" ht="14.25" customHeight="1" x14ac:dyDescent="0.4">
      <c r="E41" s="119"/>
      <c r="F41" s="119"/>
      <c r="G41" s="119"/>
      <c r="H41" s="119"/>
      <c r="I41" s="39"/>
      <c r="J41" s="39"/>
    </row>
    <row r="42" spans="2:10" ht="14.25" customHeight="1" x14ac:dyDescent="0.4">
      <c r="E42" s="119"/>
      <c r="F42" s="119"/>
      <c r="G42" s="119"/>
      <c r="H42" s="119"/>
      <c r="I42" s="39"/>
      <c r="J42" s="39"/>
    </row>
    <row r="43" spans="2:10" ht="14.25" customHeight="1" x14ac:dyDescent="0.4">
      <c r="E43" s="119"/>
      <c r="F43" s="119"/>
      <c r="G43" s="119"/>
      <c r="H43" s="119"/>
      <c r="I43" s="39"/>
      <c r="J43" s="39"/>
    </row>
    <row r="44" spans="2:10" ht="14.25" customHeight="1" x14ac:dyDescent="0.4">
      <c r="E44" s="119"/>
      <c r="F44" s="119"/>
      <c r="G44" s="119"/>
      <c r="H44" s="119"/>
      <c r="I44" s="39"/>
      <c r="J44" s="39"/>
    </row>
    <row r="45" spans="2:10" ht="14.25" customHeight="1" x14ac:dyDescent="0.4">
      <c r="E45" s="119"/>
      <c r="F45" s="119"/>
      <c r="G45" s="119"/>
      <c r="H45" s="119"/>
      <c r="I45" s="39"/>
      <c r="J45" s="39"/>
    </row>
    <row r="46" spans="2:10" ht="14.25" customHeight="1" x14ac:dyDescent="0.4">
      <c r="E46" s="119"/>
      <c r="F46" s="119"/>
      <c r="G46" s="119"/>
      <c r="H46" s="119"/>
      <c r="I46" s="39"/>
      <c r="J46" s="39"/>
    </row>
    <row r="47" spans="2:10" ht="14.25" customHeight="1" x14ac:dyDescent="0.4">
      <c r="E47" s="119"/>
      <c r="F47" s="119"/>
      <c r="G47" s="119"/>
      <c r="H47" s="119"/>
      <c r="I47" s="39"/>
      <c r="J47" s="39"/>
    </row>
    <row r="48" spans="2:10" ht="14.25" customHeight="1" x14ac:dyDescent="0.4">
      <c r="E48" s="119"/>
      <c r="F48" s="119"/>
      <c r="G48" s="119"/>
      <c r="H48" s="119"/>
      <c r="I48" s="39"/>
      <c r="J48" s="39"/>
    </row>
    <row r="49" spans="5:10" ht="14.25" customHeight="1" x14ac:dyDescent="0.4">
      <c r="E49" s="119"/>
      <c r="F49" s="119"/>
      <c r="G49" s="119"/>
      <c r="H49" s="119"/>
      <c r="I49" s="39"/>
      <c r="J49" s="39"/>
    </row>
    <row r="50" spans="5:10" ht="14.25" customHeight="1" x14ac:dyDescent="0.4">
      <c r="E50" s="119"/>
      <c r="F50" s="119"/>
      <c r="G50" s="119"/>
      <c r="H50" s="119"/>
      <c r="I50" s="39"/>
      <c r="J50" s="39"/>
    </row>
    <row r="51" spans="5:10" ht="14.25" customHeight="1" x14ac:dyDescent="0.4">
      <c r="E51" s="119"/>
      <c r="F51" s="119"/>
      <c r="G51" s="119"/>
      <c r="H51" s="119"/>
      <c r="I51" s="39"/>
      <c r="J51" s="39"/>
    </row>
    <row r="52" spans="5:10" ht="14.25" customHeight="1" x14ac:dyDescent="0.4">
      <c r="E52" s="119"/>
      <c r="F52" s="119"/>
      <c r="G52" s="119"/>
      <c r="H52" s="119"/>
      <c r="I52" s="39"/>
      <c r="J52" s="39"/>
    </row>
    <row r="53" spans="5:10" ht="14.25" customHeight="1" x14ac:dyDescent="0.4">
      <c r="E53" s="119"/>
      <c r="F53" s="119"/>
      <c r="G53" s="119"/>
      <c r="H53" s="119"/>
      <c r="I53" s="39"/>
      <c r="J53" s="39"/>
    </row>
    <row r="54" spans="5:10" ht="14.25" customHeight="1" x14ac:dyDescent="0.4">
      <c r="E54" s="119"/>
      <c r="F54" s="119"/>
      <c r="G54" s="119"/>
      <c r="H54" s="119"/>
      <c r="I54" s="39"/>
      <c r="J54" s="39"/>
    </row>
    <row r="55" spans="5:10" ht="14.25" customHeight="1" x14ac:dyDescent="0.4">
      <c r="E55" s="119"/>
      <c r="F55" s="119"/>
      <c r="G55" s="119"/>
      <c r="H55" s="119"/>
      <c r="I55" s="39"/>
      <c r="J55" s="39"/>
    </row>
    <row r="56" spans="5:10" ht="14.25" customHeight="1" x14ac:dyDescent="0.4">
      <c r="E56" s="119"/>
      <c r="F56" s="119"/>
      <c r="G56" s="119"/>
      <c r="H56" s="119"/>
      <c r="I56" s="39"/>
      <c r="J56" s="39"/>
    </row>
    <row r="57" spans="5:10" ht="14.25" customHeight="1" x14ac:dyDescent="0.4">
      <c r="E57" s="119"/>
      <c r="F57" s="119"/>
      <c r="G57" s="119"/>
      <c r="H57" s="119"/>
      <c r="I57" s="39"/>
      <c r="J57" s="39"/>
    </row>
    <row r="58" spans="5:10" ht="14.25" customHeight="1" x14ac:dyDescent="0.4">
      <c r="E58" s="119"/>
      <c r="F58" s="119"/>
      <c r="G58" s="119"/>
      <c r="H58" s="119"/>
      <c r="I58" s="39"/>
      <c r="J58" s="39"/>
    </row>
    <row r="59" spans="5:10" ht="14.25" customHeight="1" x14ac:dyDescent="0.4">
      <c r="E59" s="119"/>
      <c r="F59" s="119"/>
      <c r="G59" s="119"/>
      <c r="H59" s="119"/>
      <c r="I59" s="39"/>
      <c r="J59" s="39"/>
    </row>
    <row r="60" spans="5:10" ht="14.25" customHeight="1" x14ac:dyDescent="0.4">
      <c r="E60" s="119"/>
      <c r="F60" s="119"/>
      <c r="G60" s="119"/>
      <c r="H60" s="119"/>
      <c r="I60" s="39"/>
      <c r="J60" s="39"/>
    </row>
    <row r="61" spans="5:10" ht="14.25" customHeight="1" x14ac:dyDescent="0.4">
      <c r="E61" s="119"/>
      <c r="F61" s="119"/>
      <c r="G61" s="119"/>
      <c r="H61" s="119"/>
      <c r="I61" s="39"/>
      <c r="J61" s="39"/>
    </row>
    <row r="62" spans="5:10" ht="14.25" customHeight="1" x14ac:dyDescent="0.4">
      <c r="E62" s="119"/>
      <c r="F62" s="119"/>
      <c r="G62" s="119"/>
      <c r="H62" s="119"/>
      <c r="I62" s="39"/>
      <c r="J62" s="39"/>
    </row>
    <row r="63" spans="5:10" ht="14.25" customHeight="1" x14ac:dyDescent="0.4">
      <c r="E63" s="119"/>
      <c r="F63" s="119"/>
      <c r="G63" s="119"/>
      <c r="H63" s="119"/>
      <c r="I63" s="39"/>
      <c r="J63" s="39"/>
    </row>
    <row r="64" spans="5:10" ht="14.25" customHeight="1" x14ac:dyDescent="0.4">
      <c r="E64" s="119"/>
      <c r="F64" s="119"/>
      <c r="G64" s="119"/>
      <c r="H64" s="119"/>
      <c r="I64" s="39"/>
      <c r="J64" s="39"/>
    </row>
    <row r="65" spans="5:10" ht="14.25" customHeight="1" x14ac:dyDescent="0.4">
      <c r="E65" s="119"/>
      <c r="F65" s="119"/>
      <c r="G65" s="119"/>
      <c r="H65" s="119"/>
      <c r="I65" s="39"/>
      <c r="J65" s="39"/>
    </row>
    <row r="66" spans="5:10" ht="14.25" customHeight="1" x14ac:dyDescent="0.4">
      <c r="E66" s="119"/>
      <c r="F66" s="119"/>
      <c r="G66" s="119"/>
      <c r="H66" s="119"/>
      <c r="I66" s="39"/>
      <c r="J66" s="39"/>
    </row>
    <row r="67" spans="5:10" ht="14.25" customHeight="1" x14ac:dyDescent="0.4">
      <c r="E67" s="119"/>
      <c r="F67" s="119"/>
      <c r="G67" s="119"/>
      <c r="H67" s="119"/>
      <c r="I67" s="39"/>
      <c r="J67" s="39"/>
    </row>
    <row r="68" spans="5:10" ht="14.25" customHeight="1" x14ac:dyDescent="0.4">
      <c r="E68" s="119"/>
      <c r="F68" s="119"/>
      <c r="G68" s="119"/>
      <c r="H68" s="119"/>
      <c r="I68" s="39"/>
      <c r="J68" s="39"/>
    </row>
    <row r="69" spans="5:10" ht="14.25" customHeight="1" x14ac:dyDescent="0.4">
      <c r="E69" s="119"/>
      <c r="F69" s="119"/>
      <c r="G69" s="119"/>
      <c r="H69" s="119"/>
      <c r="I69" s="39"/>
      <c r="J69" s="39"/>
    </row>
    <row r="70" spans="5:10" ht="14.25" customHeight="1" x14ac:dyDescent="0.4">
      <c r="E70" s="119"/>
      <c r="F70" s="119"/>
      <c r="G70" s="119"/>
      <c r="H70" s="119"/>
      <c r="I70" s="39"/>
      <c r="J70" s="39"/>
    </row>
    <row r="71" spans="5:10" ht="14.25" customHeight="1" x14ac:dyDescent="0.4">
      <c r="E71" s="119"/>
      <c r="F71" s="119"/>
      <c r="G71" s="119"/>
      <c r="H71" s="119"/>
      <c r="I71" s="39"/>
      <c r="J71" s="39"/>
    </row>
    <row r="72" spans="5:10" ht="14.25" customHeight="1" x14ac:dyDescent="0.4">
      <c r="E72" s="119"/>
      <c r="F72" s="119"/>
      <c r="G72" s="119"/>
      <c r="H72" s="119"/>
      <c r="I72" s="39"/>
      <c r="J72" s="39"/>
    </row>
    <row r="73" spans="5:10" ht="14.25" customHeight="1" x14ac:dyDescent="0.4">
      <c r="E73" s="119"/>
      <c r="F73" s="119"/>
      <c r="G73" s="119"/>
      <c r="H73" s="119"/>
      <c r="I73" s="39"/>
      <c r="J73" s="39"/>
    </row>
    <row r="74" spans="5:10" ht="14.25" customHeight="1" x14ac:dyDescent="0.4">
      <c r="E74" s="119"/>
      <c r="F74" s="119"/>
      <c r="G74" s="119"/>
      <c r="H74" s="119"/>
      <c r="I74" s="39"/>
      <c r="J74" s="39"/>
    </row>
    <row r="75" spans="5:10" ht="14.25" customHeight="1" x14ac:dyDescent="0.4">
      <c r="E75" s="119"/>
      <c r="F75" s="119"/>
      <c r="G75" s="119"/>
      <c r="H75" s="119"/>
      <c r="I75" s="39"/>
      <c r="J75" s="39"/>
    </row>
    <row r="76" spans="5:10" ht="14.25" customHeight="1" x14ac:dyDescent="0.4">
      <c r="E76" s="119"/>
      <c r="F76" s="119"/>
      <c r="G76" s="119"/>
      <c r="H76" s="119"/>
      <c r="I76" s="39"/>
      <c r="J76" s="39"/>
    </row>
    <row r="77" spans="5:10" ht="14.25" customHeight="1" x14ac:dyDescent="0.4">
      <c r="E77" s="119"/>
      <c r="F77" s="119"/>
      <c r="G77" s="119"/>
      <c r="H77" s="119"/>
      <c r="I77" s="39"/>
      <c r="J77" s="39"/>
    </row>
    <row r="78" spans="5:10" ht="14.25" customHeight="1" x14ac:dyDescent="0.4">
      <c r="E78" s="119"/>
      <c r="F78" s="119"/>
      <c r="G78" s="119"/>
      <c r="H78" s="119"/>
      <c r="I78" s="39"/>
      <c r="J78" s="39"/>
    </row>
    <row r="79" spans="5:10" ht="14.25" customHeight="1" x14ac:dyDescent="0.4">
      <c r="E79" s="119"/>
      <c r="F79" s="119"/>
      <c r="G79" s="119"/>
      <c r="H79" s="119"/>
      <c r="I79" s="39"/>
      <c r="J79" s="39"/>
    </row>
    <row r="80" spans="5:10" ht="14.25" customHeight="1" x14ac:dyDescent="0.4">
      <c r="E80" s="119"/>
      <c r="F80" s="119"/>
      <c r="G80" s="119"/>
      <c r="H80" s="119"/>
      <c r="I80" s="39"/>
      <c r="J80" s="39"/>
    </row>
    <row r="81" spans="5:10" ht="14.25" customHeight="1" x14ac:dyDescent="0.4">
      <c r="E81" s="119"/>
      <c r="F81" s="119"/>
      <c r="G81" s="119"/>
      <c r="H81" s="119"/>
      <c r="I81" s="39"/>
      <c r="J81" s="39"/>
    </row>
    <row r="82" spans="5:10" ht="14.25" customHeight="1" x14ac:dyDescent="0.4">
      <c r="E82" s="119"/>
      <c r="F82" s="119"/>
      <c r="G82" s="119"/>
      <c r="H82" s="119"/>
      <c r="I82" s="39"/>
      <c r="J82" s="39"/>
    </row>
    <row r="83" spans="5:10" ht="14.25" customHeight="1" x14ac:dyDescent="0.4">
      <c r="E83" s="119"/>
      <c r="F83" s="119"/>
      <c r="G83" s="119"/>
      <c r="H83" s="119"/>
      <c r="I83" s="39"/>
      <c r="J83" s="39"/>
    </row>
    <row r="84" spans="5:10" ht="14.25" customHeight="1" x14ac:dyDescent="0.4">
      <c r="E84" s="119"/>
      <c r="F84" s="119"/>
      <c r="G84" s="119"/>
      <c r="H84" s="119"/>
      <c r="I84" s="39"/>
      <c r="J84" s="39"/>
    </row>
    <row r="85" spans="5:10" ht="14.25" customHeight="1" x14ac:dyDescent="0.4">
      <c r="E85" s="119"/>
      <c r="F85" s="119"/>
      <c r="G85" s="119"/>
      <c r="H85" s="119"/>
      <c r="I85" s="39"/>
      <c r="J85" s="39"/>
    </row>
    <row r="86" spans="5:10" ht="14.25" customHeight="1" x14ac:dyDescent="0.4">
      <c r="E86" s="119"/>
      <c r="F86" s="119"/>
      <c r="G86" s="119"/>
      <c r="H86" s="119"/>
      <c r="I86" s="39"/>
      <c r="J86" s="39"/>
    </row>
    <row r="87" spans="5:10" ht="14.25" customHeight="1" x14ac:dyDescent="0.4">
      <c r="E87" s="119"/>
      <c r="F87" s="119"/>
      <c r="G87" s="119"/>
      <c r="H87" s="119"/>
      <c r="I87" s="39"/>
      <c r="J87" s="39"/>
    </row>
    <row r="88" spans="5:10" ht="14.25" customHeight="1" x14ac:dyDescent="0.4">
      <c r="E88" s="119"/>
      <c r="F88" s="119"/>
      <c r="G88" s="119"/>
      <c r="H88" s="119"/>
      <c r="I88" s="39"/>
      <c r="J88" s="39"/>
    </row>
    <row r="89" spans="5:10" ht="14.25" customHeight="1" x14ac:dyDescent="0.4">
      <c r="E89" s="119"/>
      <c r="F89" s="119"/>
      <c r="G89" s="119"/>
      <c r="H89" s="119"/>
      <c r="I89" s="39"/>
      <c r="J89" s="39"/>
    </row>
    <row r="90" spans="5:10" ht="14.25" customHeight="1" x14ac:dyDescent="0.4">
      <c r="E90" s="119"/>
      <c r="F90" s="119"/>
      <c r="G90" s="119"/>
      <c r="H90" s="119"/>
      <c r="I90" s="39"/>
      <c r="J90" s="39"/>
    </row>
    <row r="91" spans="5:10" ht="14.25" customHeight="1" x14ac:dyDescent="0.4">
      <c r="E91" s="119"/>
      <c r="F91" s="119"/>
      <c r="G91" s="119"/>
      <c r="H91" s="119"/>
      <c r="I91" s="39"/>
      <c r="J91" s="39"/>
    </row>
    <row r="92" spans="5:10" ht="14.25" customHeight="1" x14ac:dyDescent="0.4">
      <c r="E92" s="119"/>
      <c r="F92" s="119"/>
      <c r="G92" s="119"/>
      <c r="H92" s="119"/>
      <c r="I92" s="39"/>
      <c r="J92" s="39"/>
    </row>
    <row r="93" spans="5:10" ht="14.25" customHeight="1" x14ac:dyDescent="0.4">
      <c r="E93" s="119"/>
      <c r="F93" s="119"/>
      <c r="G93" s="119"/>
      <c r="H93" s="119"/>
      <c r="I93" s="39"/>
      <c r="J93" s="39"/>
    </row>
    <row r="94" spans="5:10" ht="14.25" customHeight="1" x14ac:dyDescent="0.4">
      <c r="E94" s="119"/>
      <c r="F94" s="119"/>
      <c r="G94" s="119"/>
      <c r="H94" s="119"/>
      <c r="I94" s="39"/>
      <c r="J94" s="39"/>
    </row>
    <row r="95" spans="5:10" ht="14.25" customHeight="1" x14ac:dyDescent="0.4">
      <c r="E95" s="119"/>
      <c r="F95" s="119"/>
      <c r="G95" s="119"/>
      <c r="H95" s="119"/>
      <c r="I95" s="39"/>
      <c r="J95" s="39"/>
    </row>
    <row r="96" spans="5:10" ht="14.25" customHeight="1" x14ac:dyDescent="0.4">
      <c r="E96" s="119"/>
      <c r="F96" s="119"/>
      <c r="G96" s="119"/>
      <c r="H96" s="119"/>
      <c r="I96" s="39"/>
      <c r="J96" s="39"/>
    </row>
    <row r="97" spans="5:10" ht="14.25" customHeight="1" x14ac:dyDescent="0.4">
      <c r="E97" s="119"/>
      <c r="F97" s="119"/>
      <c r="G97" s="119"/>
      <c r="H97" s="119"/>
      <c r="I97" s="39"/>
      <c r="J97" s="39"/>
    </row>
    <row r="98" spans="5:10" ht="14.25" customHeight="1" x14ac:dyDescent="0.4">
      <c r="E98" s="119"/>
      <c r="F98" s="119"/>
      <c r="G98" s="119"/>
      <c r="H98" s="119"/>
      <c r="I98" s="39"/>
      <c r="J98" s="39"/>
    </row>
    <row r="99" spans="5:10" ht="14.25" customHeight="1" x14ac:dyDescent="0.4">
      <c r="E99" s="119"/>
      <c r="F99" s="119"/>
      <c r="G99" s="119"/>
      <c r="H99" s="119"/>
      <c r="I99" s="39"/>
      <c r="J99" s="39"/>
    </row>
    <row r="100" spans="5:10" ht="14.25" customHeight="1" x14ac:dyDescent="0.4">
      <c r="E100" s="119"/>
      <c r="F100" s="119"/>
      <c r="G100" s="119"/>
      <c r="H100" s="119"/>
      <c r="I100" s="39"/>
      <c r="J100" s="39"/>
    </row>
    <row r="101" spans="5:10" ht="14.25" customHeight="1" x14ac:dyDescent="0.4">
      <c r="E101" s="119"/>
      <c r="F101" s="119"/>
      <c r="G101" s="119"/>
      <c r="H101" s="119"/>
      <c r="I101" s="39"/>
      <c r="J101" s="39"/>
    </row>
    <row r="102" spans="5:10" ht="14.25" customHeight="1" x14ac:dyDescent="0.4">
      <c r="E102" s="119"/>
      <c r="F102" s="119"/>
      <c r="G102" s="119"/>
      <c r="H102" s="119"/>
      <c r="I102" s="39"/>
      <c r="J102" s="39"/>
    </row>
    <row r="103" spans="5:10" ht="14.25" customHeight="1" x14ac:dyDescent="0.4">
      <c r="E103" s="119"/>
      <c r="F103" s="119"/>
      <c r="G103" s="119"/>
      <c r="H103" s="119"/>
      <c r="I103" s="39"/>
      <c r="J103" s="39"/>
    </row>
    <row r="104" spans="5:10" ht="14.25" customHeight="1" x14ac:dyDescent="0.4">
      <c r="E104" s="119"/>
      <c r="F104" s="119"/>
      <c r="G104" s="119"/>
      <c r="H104" s="119"/>
      <c r="I104" s="39"/>
      <c r="J104" s="39"/>
    </row>
  </sheetData>
  <mergeCells count="3">
    <mergeCell ref="A3:D3"/>
    <mergeCell ref="B21:B22"/>
    <mergeCell ref="A1:C1"/>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G100"/>
  <sheetViews>
    <sheetView workbookViewId="0">
      <selection activeCell="B17" sqref="B17"/>
    </sheetView>
  </sheetViews>
  <sheetFormatPr defaultColWidth="12.61328125" defaultRowHeight="15" customHeight="1" x14ac:dyDescent="0.4"/>
  <cols>
    <col min="1" max="1" width="3.07421875" customWidth="1"/>
    <col min="2" max="2" width="13.07421875" customWidth="1"/>
    <col min="3" max="3" width="7.69140625" customWidth="1"/>
    <col min="4" max="4" width="12.765625" customWidth="1"/>
    <col min="5" max="11" width="7.69140625" customWidth="1"/>
  </cols>
  <sheetData>
    <row r="1" spans="2:3" ht="14.25" customHeight="1" x14ac:dyDescent="0.4"/>
    <row r="2" spans="2:3" ht="14.25" customHeight="1" x14ac:dyDescent="0.45">
      <c r="B2" s="117" t="s">
        <v>378</v>
      </c>
    </row>
    <row r="3" spans="2:3" ht="14.25" customHeight="1" x14ac:dyDescent="0.4"/>
    <row r="4" spans="2:3" ht="14.25" customHeight="1" x14ac:dyDescent="0.4">
      <c r="B4" s="38">
        <f>'Budget First 84 months'!$D$5</f>
        <v>1250</v>
      </c>
      <c r="C4" t="s">
        <v>379</v>
      </c>
    </row>
    <row r="5" spans="2:3" ht="14.25" customHeight="1" x14ac:dyDescent="0.4">
      <c r="B5" s="320">
        <f>'Budget First 84 months'!C5</f>
        <v>6.1199999999999997E-2</v>
      </c>
      <c r="C5" t="s">
        <v>380</v>
      </c>
    </row>
    <row r="6" spans="2:3" ht="14.25" customHeight="1" x14ac:dyDescent="0.4">
      <c r="B6" s="38">
        <f>B4*B5</f>
        <v>76.5</v>
      </c>
      <c r="C6" t="s">
        <v>560</v>
      </c>
    </row>
    <row r="7" spans="2:3" ht="14.25" customHeight="1" x14ac:dyDescent="0.4">
      <c r="B7" s="321">
        <f>'Budget First 84 months'!C6</f>
        <v>400</v>
      </c>
      <c r="C7" t="s">
        <v>563</v>
      </c>
    </row>
    <row r="8" spans="2:3" ht="14.25" customHeight="1" x14ac:dyDescent="0.4">
      <c r="B8" s="39">
        <f>B6*B7</f>
        <v>30600</v>
      </c>
      <c r="C8" t="s">
        <v>382</v>
      </c>
    </row>
    <row r="9" spans="2:3" ht="14.25" customHeight="1" x14ac:dyDescent="0.4">
      <c r="B9" s="320">
        <v>3.7499999999999999E-2</v>
      </c>
      <c r="C9" t="s">
        <v>383</v>
      </c>
    </row>
    <row r="10" spans="2:3" ht="14.25" customHeight="1" x14ac:dyDescent="0.4">
      <c r="B10" s="255">
        <f>-B8*B9</f>
        <v>-1147.5</v>
      </c>
      <c r="C10" t="s">
        <v>384</v>
      </c>
    </row>
    <row r="11" spans="2:3" ht="14.25" customHeight="1" x14ac:dyDescent="0.4">
      <c r="B11" s="39">
        <f>B8+B10</f>
        <v>29452.5</v>
      </c>
      <c r="C11" t="s">
        <v>385</v>
      </c>
    </row>
    <row r="12" spans="2:3" ht="14.25" customHeight="1" x14ac:dyDescent="0.4">
      <c r="B12" s="322">
        <v>0.2</v>
      </c>
      <c r="C12" t="s">
        <v>562</v>
      </c>
    </row>
    <row r="13" spans="2:3" ht="14.25" customHeight="1" x14ac:dyDescent="0.4">
      <c r="B13" s="255">
        <f>-B11*B12</f>
        <v>-5890.5</v>
      </c>
      <c r="C13" t="s">
        <v>386</v>
      </c>
    </row>
    <row r="14" spans="2:3" ht="14.25" customHeight="1" x14ac:dyDescent="0.4">
      <c r="B14" s="39">
        <f>B11+B13</f>
        <v>23562</v>
      </c>
      <c r="C14" t="s">
        <v>387</v>
      </c>
    </row>
    <row r="15" spans="2:3" ht="14.25" customHeight="1" x14ac:dyDescent="0.4">
      <c r="B15" s="322">
        <v>0.5</v>
      </c>
      <c r="C15" t="s">
        <v>561</v>
      </c>
    </row>
    <row r="16" spans="2:3" ht="14.25" customHeight="1" x14ac:dyDescent="0.4">
      <c r="B16" s="39">
        <f>B14*B15</f>
        <v>11781</v>
      </c>
      <c r="C16" t="s">
        <v>389</v>
      </c>
    </row>
    <row r="17" spans="2:5" ht="14.25" customHeight="1" x14ac:dyDescent="0.4">
      <c r="B17" s="323">
        <v>0.04</v>
      </c>
      <c r="C17" t="s">
        <v>390</v>
      </c>
    </row>
    <row r="18" spans="2:5" ht="14.25" customHeight="1" x14ac:dyDescent="0.4">
      <c r="B18" s="255">
        <f>B16*-B17</f>
        <v>-471.24</v>
      </c>
      <c r="C18" t="s">
        <v>391</v>
      </c>
    </row>
    <row r="19" spans="2:5" ht="14.25" customHeight="1" x14ac:dyDescent="0.4">
      <c r="B19" s="39">
        <f>B16+B18</f>
        <v>11309.76</v>
      </c>
      <c r="C19" t="s">
        <v>392</v>
      </c>
    </row>
    <row r="20" spans="2:5" ht="14.25" customHeight="1" x14ac:dyDescent="0.4">
      <c r="B20" s="253">
        <v>2</v>
      </c>
      <c r="C20" t="s">
        <v>393</v>
      </c>
    </row>
    <row r="21" spans="2:5" ht="14.25" customHeight="1" x14ac:dyDescent="0.4">
      <c r="B21" s="39">
        <f>B19*B20</f>
        <v>22619.52</v>
      </c>
      <c r="C21" t="s">
        <v>394</v>
      </c>
    </row>
    <row r="22" spans="2:5" ht="14.25" customHeight="1" x14ac:dyDescent="0.4">
      <c r="B22" s="324">
        <v>347</v>
      </c>
      <c r="C22" t="s">
        <v>395</v>
      </c>
      <c r="E22" s="39"/>
    </row>
    <row r="23" spans="2:5" ht="14.25" customHeight="1" x14ac:dyDescent="0.4">
      <c r="B23" s="39">
        <f>B21*B22</f>
        <v>7848973.4400000004</v>
      </c>
      <c r="C23" t="s">
        <v>396</v>
      </c>
    </row>
    <row r="24" spans="2:5" ht="14.25" customHeight="1" x14ac:dyDescent="0.4">
      <c r="B24" s="253">
        <v>12</v>
      </c>
      <c r="C24" t="s">
        <v>56</v>
      </c>
    </row>
    <row r="25" spans="2:5" ht="14.25" customHeight="1" x14ac:dyDescent="0.4">
      <c r="B25" s="49">
        <f>B23/B24</f>
        <v>654081.12</v>
      </c>
      <c r="C25" t="s">
        <v>397</v>
      </c>
    </row>
    <row r="26" spans="2:5" ht="14.25" customHeight="1" x14ac:dyDescent="0.4"/>
    <row r="27" spans="2:5" ht="14.25" customHeight="1" x14ac:dyDescent="0.4">
      <c r="C27" t="s">
        <v>398</v>
      </c>
    </row>
    <row r="28" spans="2:5" ht="14.25" customHeight="1" x14ac:dyDescent="0.4"/>
    <row r="29" spans="2:5" ht="14.25" customHeight="1" x14ac:dyDescent="0.4"/>
    <row r="30" spans="2:5" ht="14.25" customHeight="1" x14ac:dyDescent="0.4"/>
    <row r="31" spans="2:5" ht="14.25" customHeight="1" x14ac:dyDescent="0.4"/>
    <row r="32" spans="2:5" ht="14.25" customHeight="1" x14ac:dyDescent="0.4"/>
    <row r="33" spans="7:7" ht="14.25" customHeight="1" x14ac:dyDescent="0.4">
      <c r="G33" t="s">
        <v>272</v>
      </c>
    </row>
    <row r="34" spans="7:7" ht="14.25" customHeight="1" x14ac:dyDescent="0.4"/>
    <row r="35" spans="7:7" ht="14.25" customHeight="1" x14ac:dyDescent="0.4"/>
    <row r="36" spans="7:7" ht="14.25" customHeight="1" x14ac:dyDescent="0.4"/>
    <row r="37" spans="7:7" ht="14.25" customHeight="1" x14ac:dyDescent="0.4"/>
    <row r="38" spans="7:7" ht="14.25" customHeight="1" x14ac:dyDescent="0.4"/>
    <row r="39" spans="7:7" ht="14.25" customHeight="1" x14ac:dyDescent="0.4"/>
    <row r="40" spans="7:7" ht="14.25" customHeight="1" x14ac:dyDescent="0.4"/>
    <row r="41" spans="7:7" ht="14.25" customHeight="1" x14ac:dyDescent="0.4"/>
    <row r="42" spans="7:7" ht="14.25" customHeight="1" x14ac:dyDescent="0.4"/>
    <row r="43" spans="7:7" ht="14.25" customHeight="1" x14ac:dyDescent="0.4"/>
    <row r="44" spans="7:7" ht="14.25" customHeight="1" x14ac:dyDescent="0.4"/>
    <row r="45" spans="7:7" ht="14.25" customHeight="1" x14ac:dyDescent="0.4"/>
    <row r="46" spans="7:7" ht="14.25" customHeight="1" x14ac:dyDescent="0.4"/>
    <row r="47" spans="7:7" ht="14.25" customHeight="1" x14ac:dyDescent="0.4"/>
    <row r="48" spans="7:7"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B1:E100"/>
  <sheetViews>
    <sheetView workbookViewId="0">
      <selection activeCell="B17" sqref="B17"/>
    </sheetView>
  </sheetViews>
  <sheetFormatPr defaultColWidth="12.61328125" defaultRowHeight="15" customHeight="1" x14ac:dyDescent="0.4"/>
  <cols>
    <col min="1" max="1" width="2.3828125" customWidth="1"/>
    <col min="2" max="2" width="13.07421875" customWidth="1"/>
    <col min="3" max="3" width="7.69140625" customWidth="1"/>
    <col min="4" max="4" width="12.765625" customWidth="1"/>
    <col min="5" max="11" width="7.69140625" customWidth="1"/>
  </cols>
  <sheetData>
    <row r="1" spans="2:3" ht="14.25" customHeight="1" x14ac:dyDescent="0.4"/>
    <row r="2" spans="2:3" ht="14.25" customHeight="1" x14ac:dyDescent="0.45">
      <c r="B2" s="117" t="s">
        <v>399</v>
      </c>
    </row>
    <row r="3" spans="2:3" ht="14.25" customHeight="1" x14ac:dyDescent="0.4"/>
    <row r="4" spans="2:3" ht="14.25" customHeight="1" x14ac:dyDescent="0.4">
      <c r="B4" s="38">
        <f>'Budget First 84 months'!$D$5</f>
        <v>1250</v>
      </c>
      <c r="C4" t="s">
        <v>379</v>
      </c>
    </row>
    <row r="5" spans="2:3" ht="14.25" customHeight="1" x14ac:dyDescent="0.4">
      <c r="B5" s="320">
        <f>'Budget First 84 months'!C5</f>
        <v>6.1199999999999997E-2</v>
      </c>
      <c r="C5" t="s">
        <v>380</v>
      </c>
    </row>
    <row r="6" spans="2:3" ht="14.25" customHeight="1" x14ac:dyDescent="0.4">
      <c r="B6" s="38">
        <f>B4*B5</f>
        <v>76.5</v>
      </c>
      <c r="C6" t="s">
        <v>560</v>
      </c>
    </row>
    <row r="7" spans="2:3" ht="14.25" customHeight="1" x14ac:dyDescent="0.4">
      <c r="B7" s="321">
        <f>'Budget First 84 months'!C6</f>
        <v>400</v>
      </c>
      <c r="C7" t="s">
        <v>381</v>
      </c>
    </row>
    <row r="8" spans="2:3" ht="14.25" customHeight="1" x14ac:dyDescent="0.4">
      <c r="B8" s="39">
        <f>B6*B7</f>
        <v>30600</v>
      </c>
      <c r="C8" t="s">
        <v>382</v>
      </c>
    </row>
    <row r="9" spans="2:3" ht="14.25" customHeight="1" x14ac:dyDescent="0.4">
      <c r="B9" s="320">
        <v>3.7499999999999999E-2</v>
      </c>
      <c r="C9" t="s">
        <v>383</v>
      </c>
    </row>
    <row r="10" spans="2:3" ht="14.25" customHeight="1" x14ac:dyDescent="0.4">
      <c r="B10" s="255">
        <f>-B8*B9</f>
        <v>-1147.5</v>
      </c>
      <c r="C10" t="s">
        <v>384</v>
      </c>
    </row>
    <row r="11" spans="2:3" ht="14.25" customHeight="1" x14ac:dyDescent="0.4">
      <c r="B11" s="39">
        <f>B8+B10</f>
        <v>29452.5</v>
      </c>
      <c r="C11" t="s">
        <v>385</v>
      </c>
    </row>
    <row r="12" spans="2:3" ht="14.25" customHeight="1" x14ac:dyDescent="0.4">
      <c r="B12" s="322">
        <v>0.2</v>
      </c>
      <c r="C12" t="s">
        <v>564</v>
      </c>
    </row>
    <row r="13" spans="2:3" ht="14.25" customHeight="1" x14ac:dyDescent="0.4">
      <c r="B13" s="255">
        <f>-B11*B12</f>
        <v>-5890.5</v>
      </c>
      <c r="C13" t="s">
        <v>386</v>
      </c>
    </row>
    <row r="14" spans="2:3" ht="14.25" customHeight="1" x14ac:dyDescent="0.4">
      <c r="B14" s="39">
        <f>B11+B13</f>
        <v>23562</v>
      </c>
      <c r="C14" t="s">
        <v>387</v>
      </c>
    </row>
    <row r="15" spans="2:3" ht="14.25" customHeight="1" x14ac:dyDescent="0.4">
      <c r="B15" s="322">
        <v>0.5</v>
      </c>
      <c r="C15" t="s">
        <v>388</v>
      </c>
    </row>
    <row r="16" spans="2:3" ht="14.25" customHeight="1" x14ac:dyDescent="0.4">
      <c r="B16" s="39">
        <f>B14*B15</f>
        <v>11781</v>
      </c>
      <c r="C16" t="s">
        <v>389</v>
      </c>
    </row>
    <row r="17" spans="2:5" ht="14.25" customHeight="1" x14ac:dyDescent="0.4">
      <c r="B17" s="323">
        <v>0.04</v>
      </c>
      <c r="C17" t="s">
        <v>390</v>
      </c>
    </row>
    <row r="18" spans="2:5" ht="14.25" customHeight="1" x14ac:dyDescent="0.4">
      <c r="B18" s="255">
        <f>B16*-B17</f>
        <v>-471.24</v>
      </c>
      <c r="C18" t="s">
        <v>391</v>
      </c>
    </row>
    <row r="19" spans="2:5" ht="14.25" customHeight="1" x14ac:dyDescent="0.4">
      <c r="B19" s="39">
        <f>B16+B18</f>
        <v>11309.76</v>
      </c>
      <c r="C19" t="s">
        <v>392</v>
      </c>
    </row>
    <row r="20" spans="2:5" ht="14.25" customHeight="1" x14ac:dyDescent="0.4">
      <c r="B20" s="253">
        <v>1</v>
      </c>
      <c r="C20" t="s">
        <v>393</v>
      </c>
    </row>
    <row r="21" spans="2:5" ht="14.25" customHeight="1" x14ac:dyDescent="0.4">
      <c r="B21" s="39">
        <f>B19*B20</f>
        <v>11309.76</v>
      </c>
      <c r="C21" t="s">
        <v>394</v>
      </c>
    </row>
    <row r="22" spans="2:5" ht="14.25" customHeight="1" x14ac:dyDescent="0.4">
      <c r="B22" s="324">
        <v>347</v>
      </c>
      <c r="C22" t="s">
        <v>395</v>
      </c>
    </row>
    <row r="23" spans="2:5" ht="14.25" customHeight="1" x14ac:dyDescent="0.4">
      <c r="B23" s="39">
        <f>B21*B22</f>
        <v>3924486.72</v>
      </c>
      <c r="C23" t="s">
        <v>396</v>
      </c>
    </row>
    <row r="24" spans="2:5" ht="14.25" customHeight="1" x14ac:dyDescent="0.4">
      <c r="B24" s="253">
        <v>12</v>
      </c>
      <c r="C24" t="s">
        <v>56</v>
      </c>
    </row>
    <row r="25" spans="2:5" ht="14.25" customHeight="1" x14ac:dyDescent="0.4">
      <c r="B25" s="49">
        <f>B23/B24</f>
        <v>327040.56</v>
      </c>
      <c r="C25" t="s">
        <v>397</v>
      </c>
      <c r="E25" s="39"/>
    </row>
    <row r="26" spans="2:5" ht="14.25" customHeight="1" x14ac:dyDescent="0.4"/>
    <row r="27" spans="2:5" ht="14.25" customHeight="1" x14ac:dyDescent="0.4">
      <c r="C27" t="s">
        <v>398</v>
      </c>
    </row>
    <row r="28" spans="2:5" ht="14.25" customHeight="1" x14ac:dyDescent="0.4"/>
    <row r="29" spans="2:5" ht="14.25" customHeight="1" x14ac:dyDescent="0.4"/>
    <row r="30" spans="2:5" ht="14.25" customHeight="1" x14ac:dyDescent="0.4"/>
    <row r="31" spans="2:5" ht="14.25" customHeight="1" x14ac:dyDescent="0.4"/>
    <row r="32" spans="2:5" ht="14.25" customHeight="1" x14ac:dyDescent="0.4"/>
    <row r="33" ht="14.25" customHeight="1" x14ac:dyDescent="0.4"/>
    <row r="34" ht="14.25" customHeight="1" x14ac:dyDescent="0.4"/>
    <row r="35" ht="14.25" customHeight="1" x14ac:dyDescent="0.4"/>
    <row r="36" ht="14.25" customHeight="1" x14ac:dyDescent="0.4"/>
    <row r="37" ht="14.25" customHeight="1" x14ac:dyDescent="0.4"/>
    <row r="38" ht="14.25" customHeight="1" x14ac:dyDescent="0.4"/>
    <row r="39" ht="14.25" customHeight="1" x14ac:dyDescent="0.4"/>
    <row r="40" ht="14.25" customHeight="1" x14ac:dyDescent="0.4"/>
    <row r="41" ht="14.25" customHeight="1" x14ac:dyDescent="0.4"/>
    <row r="42" ht="14.25" customHeight="1" x14ac:dyDescent="0.4"/>
    <row r="43" ht="14.2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55A11"/>
  </sheetPr>
  <dimension ref="B1:E100"/>
  <sheetViews>
    <sheetView workbookViewId="0">
      <selection activeCell="B17" sqref="B17"/>
    </sheetView>
  </sheetViews>
  <sheetFormatPr defaultColWidth="12.61328125" defaultRowHeight="15" customHeight="1" x14ac:dyDescent="0.4"/>
  <cols>
    <col min="1" max="1" width="2" customWidth="1"/>
    <col min="2" max="2" width="13.07421875" customWidth="1"/>
    <col min="3" max="3" width="7.69140625" customWidth="1"/>
    <col min="4" max="4" width="12.765625" customWidth="1"/>
    <col min="5" max="11" width="7.69140625" customWidth="1"/>
  </cols>
  <sheetData>
    <row r="1" spans="2:3" ht="14.25" customHeight="1" x14ac:dyDescent="0.4"/>
    <row r="2" spans="2:3" ht="14.25" customHeight="1" x14ac:dyDescent="0.45">
      <c r="B2" s="117" t="s">
        <v>400</v>
      </c>
    </row>
    <row r="3" spans="2:3" ht="14.25" customHeight="1" x14ac:dyDescent="0.4"/>
    <row r="4" spans="2:3" ht="14.25" customHeight="1" x14ac:dyDescent="0.4">
      <c r="B4" s="38">
        <f>'Budget First 84 months'!$D$5</f>
        <v>1250</v>
      </c>
      <c r="C4" t="s">
        <v>379</v>
      </c>
    </row>
    <row r="5" spans="2:3" ht="14.25" customHeight="1" x14ac:dyDescent="0.4">
      <c r="B5" s="320">
        <f>'Budget First 84 months'!C5</f>
        <v>6.1199999999999997E-2</v>
      </c>
      <c r="C5" t="s">
        <v>380</v>
      </c>
    </row>
    <row r="6" spans="2:3" ht="14.25" customHeight="1" x14ac:dyDescent="0.4">
      <c r="B6" s="38">
        <f>B4*B5</f>
        <v>76.5</v>
      </c>
      <c r="C6" t="s">
        <v>560</v>
      </c>
    </row>
    <row r="7" spans="2:3" ht="14.25" customHeight="1" x14ac:dyDescent="0.4">
      <c r="B7" s="321">
        <f>'Budget First 84 months'!C6</f>
        <v>400</v>
      </c>
      <c r="C7" t="s">
        <v>381</v>
      </c>
    </row>
    <row r="8" spans="2:3" ht="14.25" customHeight="1" x14ac:dyDescent="0.4">
      <c r="B8" s="39">
        <f>B6*B7</f>
        <v>30600</v>
      </c>
      <c r="C8" t="s">
        <v>382</v>
      </c>
    </row>
    <row r="9" spans="2:3" ht="14.25" customHeight="1" x14ac:dyDescent="0.4">
      <c r="B9" s="320">
        <v>3.7499999999999999E-2</v>
      </c>
      <c r="C9" t="s">
        <v>383</v>
      </c>
    </row>
    <row r="10" spans="2:3" ht="14.25" customHeight="1" x14ac:dyDescent="0.4">
      <c r="B10" s="255">
        <f>-B8*B9</f>
        <v>-1147.5</v>
      </c>
      <c r="C10" t="s">
        <v>384</v>
      </c>
    </row>
    <row r="11" spans="2:3" ht="14.25" customHeight="1" x14ac:dyDescent="0.4">
      <c r="B11" s="39">
        <f>B8+B10</f>
        <v>29452.5</v>
      </c>
      <c r="C11" t="s">
        <v>385</v>
      </c>
    </row>
    <row r="12" spans="2:3" ht="14.25" customHeight="1" x14ac:dyDescent="0.4">
      <c r="B12" s="322">
        <v>0.2</v>
      </c>
      <c r="C12" t="s">
        <v>562</v>
      </c>
    </row>
    <row r="13" spans="2:3" ht="14.25" customHeight="1" x14ac:dyDescent="0.4">
      <c r="B13" s="255">
        <f>-B11*B12</f>
        <v>-5890.5</v>
      </c>
      <c r="C13" t="s">
        <v>386</v>
      </c>
    </row>
    <row r="14" spans="2:3" ht="14.25" customHeight="1" x14ac:dyDescent="0.4">
      <c r="B14" s="39">
        <f>B11+B13</f>
        <v>23562</v>
      </c>
      <c r="C14" t="s">
        <v>387</v>
      </c>
    </row>
    <row r="15" spans="2:3" ht="14.25" customHeight="1" x14ac:dyDescent="0.4">
      <c r="B15" s="322">
        <v>0.95</v>
      </c>
      <c r="C15" t="s">
        <v>388</v>
      </c>
    </row>
    <row r="16" spans="2:3" ht="14.25" customHeight="1" x14ac:dyDescent="0.4">
      <c r="B16" s="39">
        <f>B14*B15</f>
        <v>22383.899999999998</v>
      </c>
      <c r="C16" t="s">
        <v>389</v>
      </c>
    </row>
    <row r="17" spans="2:5" ht="14.25" customHeight="1" x14ac:dyDescent="0.4">
      <c r="B17" s="323">
        <v>0.04</v>
      </c>
      <c r="C17" t="s">
        <v>390</v>
      </c>
    </row>
    <row r="18" spans="2:5" ht="14.25" customHeight="1" x14ac:dyDescent="0.4">
      <c r="B18" s="255">
        <f>B16*-B17</f>
        <v>-895.35599999999988</v>
      </c>
      <c r="C18" t="s">
        <v>391</v>
      </c>
    </row>
    <row r="19" spans="2:5" ht="14.25" customHeight="1" x14ac:dyDescent="0.4">
      <c r="B19" s="39">
        <f>B16+B18</f>
        <v>21488.543999999998</v>
      </c>
      <c r="C19" t="s">
        <v>392</v>
      </c>
    </row>
    <row r="20" spans="2:5" ht="14.25" customHeight="1" x14ac:dyDescent="0.4">
      <c r="B20" s="253">
        <v>1</v>
      </c>
      <c r="C20" t="s">
        <v>393</v>
      </c>
    </row>
    <row r="21" spans="2:5" ht="14.25" customHeight="1" x14ac:dyDescent="0.4">
      <c r="B21" s="39">
        <f>B19*B20</f>
        <v>21488.543999999998</v>
      </c>
      <c r="C21" t="s">
        <v>394</v>
      </c>
    </row>
    <row r="22" spans="2:5" ht="14.25" customHeight="1" x14ac:dyDescent="0.4">
      <c r="B22" s="324">
        <v>347</v>
      </c>
      <c r="C22" t="s">
        <v>395</v>
      </c>
    </row>
    <row r="23" spans="2:5" ht="14.25" customHeight="1" x14ac:dyDescent="0.4">
      <c r="B23" s="39">
        <f>B21*B22</f>
        <v>7456524.7679999992</v>
      </c>
      <c r="C23" t="s">
        <v>396</v>
      </c>
    </row>
    <row r="24" spans="2:5" ht="14.25" customHeight="1" x14ac:dyDescent="0.4">
      <c r="B24" s="253">
        <v>12</v>
      </c>
      <c r="C24" t="s">
        <v>56</v>
      </c>
    </row>
    <row r="25" spans="2:5" ht="14.25" customHeight="1" x14ac:dyDescent="0.4">
      <c r="B25" s="49">
        <f>B23/B24</f>
        <v>621377.0639999999</v>
      </c>
      <c r="C25" t="s">
        <v>397</v>
      </c>
      <c r="E25" s="39"/>
    </row>
    <row r="26" spans="2:5" ht="14.25" customHeight="1" x14ac:dyDescent="0.4"/>
    <row r="27" spans="2:5" ht="14.25" customHeight="1" x14ac:dyDescent="0.4">
      <c r="C27" t="s">
        <v>398</v>
      </c>
    </row>
    <row r="28" spans="2:5" ht="14.25" customHeight="1" x14ac:dyDescent="0.4"/>
    <row r="29" spans="2:5" ht="14.25" customHeight="1" x14ac:dyDescent="0.4"/>
    <row r="30" spans="2:5" ht="14.25" customHeight="1" x14ac:dyDescent="0.4"/>
    <row r="31" spans="2:5" ht="14.25" customHeight="1" x14ac:dyDescent="0.4"/>
    <row r="32" spans="2:5" ht="14.25" customHeight="1" x14ac:dyDescent="0.4"/>
    <row r="33" ht="14.25" customHeight="1" x14ac:dyDescent="0.4"/>
    <row r="34" ht="14.25" customHeight="1" x14ac:dyDescent="0.4"/>
    <row r="35" ht="14.25" customHeight="1" x14ac:dyDescent="0.4"/>
    <row r="36" ht="14.25" customHeight="1" x14ac:dyDescent="0.4"/>
    <row r="37" ht="14.25" customHeight="1" x14ac:dyDescent="0.4"/>
    <row r="38" ht="14.25" customHeight="1" x14ac:dyDescent="0.4"/>
    <row r="39" ht="14.25" customHeight="1" x14ac:dyDescent="0.4"/>
    <row r="40" ht="14.25" customHeight="1" x14ac:dyDescent="0.4"/>
    <row r="41" ht="14.25" customHeight="1" x14ac:dyDescent="0.4"/>
    <row r="42" ht="14.25" customHeight="1" x14ac:dyDescent="0.4"/>
    <row r="43" ht="14.2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2CEF9"/>
  </sheetPr>
  <dimension ref="B1:E100"/>
  <sheetViews>
    <sheetView workbookViewId="0">
      <selection activeCell="B15" sqref="B15"/>
    </sheetView>
  </sheetViews>
  <sheetFormatPr defaultColWidth="12.61328125" defaultRowHeight="15" customHeight="1" x14ac:dyDescent="0.4"/>
  <cols>
    <col min="1" max="1" width="2.3828125" customWidth="1"/>
    <col min="2" max="2" width="12.23046875" customWidth="1"/>
    <col min="3" max="11" width="7.69140625" customWidth="1"/>
  </cols>
  <sheetData>
    <row r="1" spans="2:3" ht="14.25" customHeight="1" x14ac:dyDescent="0.4"/>
    <row r="2" spans="2:3" ht="14.25" customHeight="1" x14ac:dyDescent="0.45">
      <c r="B2" s="420" t="s">
        <v>402</v>
      </c>
    </row>
    <row r="3" spans="2:3" ht="14.25" customHeight="1" x14ac:dyDescent="0.4"/>
    <row r="4" spans="2:3" ht="14.25" customHeight="1" x14ac:dyDescent="0.4">
      <c r="B4" s="38">
        <f>'Budget First 84 months'!$D$5</f>
        <v>1250</v>
      </c>
      <c r="C4" t="s">
        <v>379</v>
      </c>
    </row>
    <row r="5" spans="2:3" ht="14.25" customHeight="1" x14ac:dyDescent="0.4">
      <c r="B5" s="419">
        <f>'Budget First 84 months'!C5</f>
        <v>6.1199999999999997E-2</v>
      </c>
      <c r="C5" t="s">
        <v>380</v>
      </c>
    </row>
    <row r="6" spans="2:3" ht="14.25" customHeight="1" x14ac:dyDescent="0.4">
      <c r="B6" s="38">
        <f>B4*B5</f>
        <v>76.5</v>
      </c>
      <c r="C6" t="s">
        <v>560</v>
      </c>
    </row>
    <row r="7" spans="2:3" ht="14.25" customHeight="1" x14ac:dyDescent="0.4">
      <c r="B7" s="321">
        <f>'Budget First 84 months'!C6</f>
        <v>400</v>
      </c>
      <c r="C7" t="s">
        <v>381</v>
      </c>
    </row>
    <row r="8" spans="2:3" ht="14.25" customHeight="1" x14ac:dyDescent="0.4">
      <c r="B8" s="39">
        <f>B6*B7</f>
        <v>30600</v>
      </c>
      <c r="C8" t="s">
        <v>382</v>
      </c>
    </row>
    <row r="9" spans="2:3" ht="14.25" customHeight="1" x14ac:dyDescent="0.4">
      <c r="B9" s="320">
        <v>3.7499999999999999E-2</v>
      </c>
      <c r="C9" t="s">
        <v>383</v>
      </c>
    </row>
    <row r="10" spans="2:3" ht="14.25" customHeight="1" x14ac:dyDescent="0.4">
      <c r="B10" s="255">
        <f>-B8*B9</f>
        <v>-1147.5</v>
      </c>
      <c r="C10" t="s">
        <v>384</v>
      </c>
    </row>
    <row r="11" spans="2:3" ht="14.25" customHeight="1" x14ac:dyDescent="0.4">
      <c r="B11" s="39">
        <f>B8+B10</f>
        <v>29452.5</v>
      </c>
      <c r="C11" t="s">
        <v>401</v>
      </c>
    </row>
    <row r="12" spans="2:3" ht="14.25" customHeight="1" x14ac:dyDescent="0.4">
      <c r="B12" s="322">
        <v>0.2</v>
      </c>
      <c r="C12" t="s">
        <v>562</v>
      </c>
    </row>
    <row r="13" spans="2:3" ht="14.25" customHeight="1" x14ac:dyDescent="0.4">
      <c r="B13" s="255">
        <f>-B11*B12</f>
        <v>-5890.5</v>
      </c>
      <c r="C13" t="s">
        <v>386</v>
      </c>
    </row>
    <row r="14" spans="2:3" ht="14.25" customHeight="1" x14ac:dyDescent="0.4">
      <c r="B14" s="39">
        <f>B11+B13</f>
        <v>23562</v>
      </c>
      <c r="C14" t="s">
        <v>385</v>
      </c>
    </row>
    <row r="15" spans="2:3" ht="14.25" customHeight="1" x14ac:dyDescent="0.4">
      <c r="B15" s="322">
        <v>0.5</v>
      </c>
      <c r="C15" t="s">
        <v>388</v>
      </c>
    </row>
    <row r="16" spans="2:3" ht="14.25" customHeight="1" x14ac:dyDescent="0.4">
      <c r="B16" s="39">
        <f>B14*B15</f>
        <v>11781</v>
      </c>
      <c r="C16" t="s">
        <v>389</v>
      </c>
    </row>
    <row r="17" spans="2:5" ht="14.25" customHeight="1" x14ac:dyDescent="0.4">
      <c r="B17" s="323">
        <v>0.04</v>
      </c>
      <c r="C17" t="s">
        <v>390</v>
      </c>
    </row>
    <row r="18" spans="2:5" ht="14.25" customHeight="1" x14ac:dyDescent="0.4">
      <c r="B18" s="255">
        <f>B16*-B17</f>
        <v>-471.24</v>
      </c>
      <c r="C18" t="s">
        <v>391</v>
      </c>
    </row>
    <row r="19" spans="2:5" ht="14.25" customHeight="1" x14ac:dyDescent="0.4">
      <c r="B19" s="39">
        <f>B16+B18</f>
        <v>11309.76</v>
      </c>
      <c r="C19" t="s">
        <v>392</v>
      </c>
    </row>
    <row r="20" spans="2:5" ht="14.25" customHeight="1" x14ac:dyDescent="0.4">
      <c r="B20" s="253">
        <v>1</v>
      </c>
      <c r="C20" t="s">
        <v>393</v>
      </c>
    </row>
    <row r="21" spans="2:5" ht="14.25" customHeight="1" x14ac:dyDescent="0.4">
      <c r="B21" s="39">
        <f>B19*B20</f>
        <v>11309.76</v>
      </c>
      <c r="C21" t="s">
        <v>394</v>
      </c>
    </row>
    <row r="22" spans="2:5" ht="14.25" customHeight="1" x14ac:dyDescent="0.4">
      <c r="B22" s="324">
        <v>347</v>
      </c>
      <c r="C22" t="s">
        <v>395</v>
      </c>
    </row>
    <row r="23" spans="2:5" ht="18.75" customHeight="1" x14ac:dyDescent="0.4">
      <c r="B23" s="39">
        <f>B21*B22</f>
        <v>3924486.72</v>
      </c>
      <c r="C23" t="s">
        <v>396</v>
      </c>
    </row>
    <row r="24" spans="2:5" ht="14.25" customHeight="1" x14ac:dyDescent="0.4">
      <c r="B24" s="253">
        <v>12</v>
      </c>
      <c r="C24" t="s">
        <v>56</v>
      </c>
    </row>
    <row r="25" spans="2:5" ht="14.25" customHeight="1" x14ac:dyDescent="0.4">
      <c r="B25" s="49">
        <f>B23/B24</f>
        <v>327040.56</v>
      </c>
      <c r="C25" t="s">
        <v>397</v>
      </c>
      <c r="E25" s="39"/>
    </row>
    <row r="26" spans="2:5" ht="14.25" customHeight="1" x14ac:dyDescent="0.4">
      <c r="B26" s="89"/>
    </row>
    <row r="27" spans="2:5" ht="14.25" customHeight="1" x14ac:dyDescent="0.4">
      <c r="B27" s="49"/>
      <c r="C27" t="s">
        <v>398</v>
      </c>
    </row>
    <row r="28" spans="2:5" ht="14.25" customHeight="1" x14ac:dyDescent="0.4">
      <c r="B28" s="325"/>
    </row>
    <row r="29" spans="2:5" ht="14.25" customHeight="1" x14ac:dyDescent="0.4"/>
    <row r="30" spans="2:5" ht="14.25" customHeight="1" x14ac:dyDescent="0.4"/>
    <row r="31" spans="2:5" ht="14.25" customHeight="1" x14ac:dyDescent="0.4"/>
    <row r="32" spans="2:5" ht="14.25" customHeight="1" x14ac:dyDescent="0.4"/>
    <row r="33" ht="14.25" customHeight="1" x14ac:dyDescent="0.4"/>
    <row r="34" ht="14.25" customHeight="1" x14ac:dyDescent="0.4"/>
    <row r="35" ht="14.25" customHeight="1" x14ac:dyDescent="0.4"/>
    <row r="36" ht="14.25" customHeight="1" x14ac:dyDescent="0.4"/>
    <row r="37" ht="14.25" customHeight="1" x14ac:dyDescent="0.4"/>
    <row r="38" ht="14.25" customHeight="1" x14ac:dyDescent="0.4"/>
    <row r="39" ht="14.25" customHeight="1" x14ac:dyDescent="0.4"/>
    <row r="40" ht="14.25" customHeight="1" x14ac:dyDescent="0.4"/>
    <row r="41" ht="14.25" customHeight="1" x14ac:dyDescent="0.4"/>
    <row r="42" ht="14.25" customHeight="1" x14ac:dyDescent="0.4"/>
    <row r="43" ht="14.2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DEEAF6"/>
  </sheetPr>
  <dimension ref="B1:G100"/>
  <sheetViews>
    <sheetView workbookViewId="0">
      <selection activeCell="B17" sqref="B17"/>
    </sheetView>
  </sheetViews>
  <sheetFormatPr defaultColWidth="12.61328125" defaultRowHeight="15" customHeight="1" x14ac:dyDescent="0.4"/>
  <cols>
    <col min="1" max="1" width="2.3046875" customWidth="1"/>
    <col min="2" max="2" width="13.07421875" customWidth="1"/>
    <col min="3" max="3" width="7.69140625" customWidth="1"/>
    <col min="4" max="4" width="12.765625" customWidth="1"/>
    <col min="5" max="6" width="7.69140625" customWidth="1"/>
    <col min="7" max="7" width="11.84375" customWidth="1"/>
    <col min="8" max="11" width="7.69140625" customWidth="1"/>
  </cols>
  <sheetData>
    <row r="1" spans="2:3" ht="14.25" customHeight="1" x14ac:dyDescent="0.4"/>
    <row r="2" spans="2:3" ht="14.25" customHeight="1" x14ac:dyDescent="0.45">
      <c r="B2" s="117" t="s">
        <v>402</v>
      </c>
    </row>
    <row r="3" spans="2:3" ht="14.25" customHeight="1" x14ac:dyDescent="0.4"/>
    <row r="4" spans="2:3" ht="14.25" customHeight="1" x14ac:dyDescent="0.4">
      <c r="B4" s="38">
        <f>'Budget First 84 months'!$D$5</f>
        <v>1250</v>
      </c>
      <c r="C4" t="s">
        <v>379</v>
      </c>
    </row>
    <row r="5" spans="2:3" ht="14.25" customHeight="1" x14ac:dyDescent="0.4">
      <c r="B5" s="320">
        <f>'Budget First 84 months'!C5</f>
        <v>6.1199999999999997E-2</v>
      </c>
      <c r="C5" t="s">
        <v>380</v>
      </c>
    </row>
    <row r="6" spans="2:3" ht="14.25" customHeight="1" x14ac:dyDescent="0.4">
      <c r="B6" s="38">
        <f>B4*B5</f>
        <v>76.5</v>
      </c>
      <c r="C6" t="s">
        <v>565</v>
      </c>
    </row>
    <row r="7" spans="2:3" ht="14.25" customHeight="1" x14ac:dyDescent="0.4">
      <c r="B7" s="321">
        <f>'Budget First 84 months'!C6</f>
        <v>400</v>
      </c>
      <c r="C7" t="s">
        <v>381</v>
      </c>
    </row>
    <row r="8" spans="2:3" ht="14.25" customHeight="1" x14ac:dyDescent="0.4">
      <c r="B8" s="39">
        <f>B6*B7</f>
        <v>30600</v>
      </c>
      <c r="C8" t="s">
        <v>382</v>
      </c>
    </row>
    <row r="9" spans="2:3" ht="14.25" customHeight="1" x14ac:dyDescent="0.4">
      <c r="B9" s="320">
        <v>3.7499999999999999E-2</v>
      </c>
      <c r="C9" t="s">
        <v>383</v>
      </c>
    </row>
    <row r="10" spans="2:3" ht="14.25" customHeight="1" x14ac:dyDescent="0.4">
      <c r="B10" s="255">
        <f>-B8*B9</f>
        <v>-1147.5</v>
      </c>
      <c r="C10" t="s">
        <v>384</v>
      </c>
    </row>
    <row r="11" spans="2:3" ht="14.25" customHeight="1" x14ac:dyDescent="0.4">
      <c r="B11" s="39">
        <f>B8+B10</f>
        <v>29452.5</v>
      </c>
      <c r="C11" t="s">
        <v>401</v>
      </c>
    </row>
    <row r="12" spans="2:3" ht="14.25" customHeight="1" x14ac:dyDescent="0.4">
      <c r="B12" s="322">
        <v>0.2</v>
      </c>
      <c r="C12" t="s">
        <v>562</v>
      </c>
    </row>
    <row r="13" spans="2:3" ht="14.25" customHeight="1" x14ac:dyDescent="0.4">
      <c r="B13" s="255">
        <f>-B11*B12</f>
        <v>-5890.5</v>
      </c>
      <c r="C13" t="s">
        <v>386</v>
      </c>
    </row>
    <row r="14" spans="2:3" ht="14.25" customHeight="1" x14ac:dyDescent="0.4">
      <c r="B14" s="39">
        <f>B11+B13</f>
        <v>23562</v>
      </c>
      <c r="C14" t="s">
        <v>385</v>
      </c>
    </row>
    <row r="15" spans="2:3" ht="14.25" customHeight="1" x14ac:dyDescent="0.4">
      <c r="B15" s="322">
        <v>1</v>
      </c>
      <c r="C15" t="s">
        <v>388</v>
      </c>
    </row>
    <row r="16" spans="2:3" ht="14.25" customHeight="1" x14ac:dyDescent="0.4">
      <c r="B16" s="39">
        <f>B14*B15</f>
        <v>23562</v>
      </c>
      <c r="C16" t="s">
        <v>389</v>
      </c>
    </row>
    <row r="17" spans="2:7" ht="14.25" customHeight="1" x14ac:dyDescent="0.4">
      <c r="B17" s="323">
        <v>0.04</v>
      </c>
      <c r="C17" t="s">
        <v>390</v>
      </c>
    </row>
    <row r="18" spans="2:7" ht="14.25" customHeight="1" x14ac:dyDescent="0.4">
      <c r="B18" s="255">
        <f>B16*-B17</f>
        <v>-942.48</v>
      </c>
      <c r="C18" t="s">
        <v>391</v>
      </c>
    </row>
    <row r="19" spans="2:7" ht="14.25" customHeight="1" x14ac:dyDescent="0.4">
      <c r="B19" s="39">
        <f>B16+B18</f>
        <v>22619.52</v>
      </c>
      <c r="C19" t="s">
        <v>392</v>
      </c>
    </row>
    <row r="20" spans="2:7" ht="14.25" customHeight="1" x14ac:dyDescent="0.4">
      <c r="B20" s="253">
        <v>1</v>
      </c>
      <c r="C20" t="s">
        <v>393</v>
      </c>
    </row>
    <row r="21" spans="2:7" ht="14.25" customHeight="1" x14ac:dyDescent="0.4">
      <c r="B21" s="39">
        <f>B19*B20</f>
        <v>22619.52</v>
      </c>
      <c r="C21" t="s">
        <v>394</v>
      </c>
    </row>
    <row r="22" spans="2:7" ht="14.25" customHeight="1" x14ac:dyDescent="0.4">
      <c r="B22" s="324">
        <v>347</v>
      </c>
      <c r="C22" t="s">
        <v>395</v>
      </c>
      <c r="E22" s="39"/>
    </row>
    <row r="23" spans="2:7" ht="18.75" customHeight="1" x14ac:dyDescent="0.4">
      <c r="B23" s="39">
        <f>B21*B22</f>
        <v>7848973.4400000004</v>
      </c>
      <c r="C23" t="s">
        <v>396</v>
      </c>
    </row>
    <row r="24" spans="2:7" ht="14.25" customHeight="1" x14ac:dyDescent="0.4">
      <c r="B24" s="253">
        <v>12</v>
      </c>
      <c r="C24" t="s">
        <v>56</v>
      </c>
    </row>
    <row r="25" spans="2:7" ht="14.25" customHeight="1" x14ac:dyDescent="0.4">
      <c r="B25" s="49">
        <f>B23/B24</f>
        <v>654081.12</v>
      </c>
      <c r="C25" t="s">
        <v>397</v>
      </c>
      <c r="G25" s="119"/>
    </row>
    <row r="26" spans="2:7" ht="14.25" customHeight="1" x14ac:dyDescent="0.4"/>
    <row r="27" spans="2:7" ht="14.25" customHeight="1" x14ac:dyDescent="0.4">
      <c r="C27" t="s">
        <v>398</v>
      </c>
    </row>
    <row r="28" spans="2:7" ht="14.25" customHeight="1" x14ac:dyDescent="0.4"/>
    <row r="29" spans="2:7" ht="14.25" customHeight="1" x14ac:dyDescent="0.4"/>
    <row r="30" spans="2:7" ht="14.25" customHeight="1" x14ac:dyDescent="0.4"/>
    <row r="31" spans="2:7" ht="14.25" customHeight="1" x14ac:dyDescent="0.4"/>
    <row r="32" spans="2:7" ht="14.25" customHeight="1" x14ac:dyDescent="0.4"/>
    <row r="33" ht="14.25" customHeight="1" x14ac:dyDescent="0.4"/>
    <row r="34" ht="14.25" customHeight="1" x14ac:dyDescent="0.4"/>
    <row r="35" ht="14.25" customHeight="1" x14ac:dyDescent="0.4"/>
    <row r="36" ht="14.25" customHeight="1" x14ac:dyDescent="0.4"/>
    <row r="37" ht="14.25" customHeight="1" x14ac:dyDescent="0.4"/>
    <row r="38" ht="14.25" customHeight="1" x14ac:dyDescent="0.4"/>
    <row r="39" ht="14.25" customHeight="1" x14ac:dyDescent="0.4"/>
    <row r="40" ht="14.25" customHeight="1" x14ac:dyDescent="0.4"/>
    <row r="41" ht="14.25" customHeight="1" x14ac:dyDescent="0.4"/>
    <row r="42" ht="14.25" customHeight="1" x14ac:dyDescent="0.4"/>
    <row r="43" ht="14.2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7AC"/>
  </sheetPr>
  <dimension ref="A1:W101"/>
  <sheetViews>
    <sheetView topLeftCell="A11" workbookViewId="0">
      <selection activeCell="C19" sqref="C18:W19"/>
    </sheetView>
  </sheetViews>
  <sheetFormatPr defaultColWidth="12.61328125" defaultRowHeight="15" customHeight="1" x14ac:dyDescent="0.4"/>
  <cols>
    <col min="1" max="1" width="5.07421875" bestFit="1" customWidth="1"/>
    <col min="2" max="2" width="8.23046875" customWidth="1"/>
    <col min="3" max="3" width="21.61328125" customWidth="1"/>
    <col min="4" max="4" width="19.23046875" customWidth="1"/>
    <col min="5" max="5" width="11.765625" bestFit="1" customWidth="1"/>
    <col min="6" max="6" width="11.84375" customWidth="1"/>
    <col min="7" max="7" width="12.921875" bestFit="1" customWidth="1"/>
    <col min="8" max="8" width="18.3046875" customWidth="1"/>
    <col min="9" max="9" width="15.3828125" customWidth="1"/>
    <col min="10" max="10" width="11.69140625" customWidth="1"/>
    <col min="11" max="11" width="16.61328125" customWidth="1"/>
    <col min="12" max="12" width="11.84375" customWidth="1"/>
    <col min="13" max="17" width="11.69140625" customWidth="1"/>
    <col min="18" max="18" width="13.921875" customWidth="1"/>
    <col min="19" max="19" width="12.765625" customWidth="1"/>
    <col min="20" max="22" width="11.69140625" customWidth="1"/>
    <col min="23" max="23" width="13.23046875" bestFit="1" customWidth="1"/>
  </cols>
  <sheetData>
    <row r="1" spans="1:23" ht="15" customHeight="1" x14ac:dyDescent="0.5">
      <c r="B1" s="645" t="s">
        <v>46</v>
      </c>
      <c r="C1" s="649"/>
      <c r="D1" s="649"/>
    </row>
    <row r="2" spans="1:23" ht="15.75" customHeight="1" x14ac:dyDescent="0.55000000000000004">
      <c r="A2" s="326"/>
      <c r="B2" s="327"/>
      <c r="C2" s="327"/>
      <c r="D2" s="327"/>
      <c r="E2" s="327"/>
      <c r="F2" s="327"/>
      <c r="G2" s="327"/>
      <c r="H2" s="327"/>
      <c r="I2" s="327"/>
      <c r="J2" s="327"/>
      <c r="K2" s="327"/>
      <c r="L2" s="327"/>
      <c r="M2" s="327"/>
      <c r="N2" s="327"/>
      <c r="O2" s="328"/>
      <c r="P2" s="329"/>
      <c r="Q2" s="329"/>
      <c r="R2" s="329"/>
      <c r="S2" s="329"/>
      <c r="T2" s="329"/>
      <c r="U2" s="329"/>
      <c r="V2" s="329"/>
      <c r="W2" s="329"/>
    </row>
    <row r="3" spans="1:23" ht="81.75" customHeight="1" x14ac:dyDescent="0.55000000000000004">
      <c r="A3" s="326"/>
      <c r="B3" s="664" t="s">
        <v>403</v>
      </c>
      <c r="C3" s="631"/>
      <c r="D3" s="631"/>
      <c r="E3" s="631"/>
      <c r="F3" s="631"/>
      <c r="G3" s="631"/>
      <c r="H3" s="631"/>
      <c r="I3" s="631"/>
      <c r="J3" s="631"/>
      <c r="K3" s="631"/>
      <c r="L3" s="631"/>
      <c r="M3" s="631"/>
      <c r="N3" s="632"/>
      <c r="O3" s="330"/>
      <c r="P3" s="329"/>
      <c r="Q3" s="329"/>
      <c r="R3" s="329"/>
      <c r="S3" s="329"/>
      <c r="T3" s="329"/>
      <c r="U3" s="329"/>
      <c r="V3" s="329"/>
      <c r="W3" s="329"/>
    </row>
    <row r="4" spans="1:23" ht="15" customHeight="1" x14ac:dyDescent="0.55000000000000004">
      <c r="A4" s="326"/>
      <c r="B4" s="329"/>
      <c r="C4" s="329"/>
      <c r="D4" s="329"/>
      <c r="E4" s="331"/>
      <c r="F4" s="331"/>
      <c r="G4" s="330"/>
      <c r="H4" s="330"/>
      <c r="I4" s="330"/>
      <c r="J4" s="330"/>
      <c r="K4" s="330"/>
      <c r="L4" s="330"/>
      <c r="M4" s="330"/>
      <c r="N4" s="330"/>
      <c r="O4" s="330"/>
      <c r="P4" s="330"/>
      <c r="Q4" s="329"/>
      <c r="R4" s="329"/>
      <c r="S4" s="522"/>
      <c r="T4" s="329"/>
      <c r="U4" s="329"/>
      <c r="V4" s="329"/>
      <c r="W4" s="329"/>
    </row>
    <row r="5" spans="1:23" ht="15" customHeight="1" x14ac:dyDescent="0.55000000000000004">
      <c r="A5" s="326"/>
      <c r="B5" s="329"/>
      <c r="C5" s="331" t="s">
        <v>404</v>
      </c>
      <c r="D5" s="332">
        <v>0.5</v>
      </c>
      <c r="E5" s="331"/>
      <c r="F5" s="331"/>
      <c r="G5" s="330"/>
      <c r="H5" s="330"/>
      <c r="I5" s="330"/>
      <c r="J5" s="330"/>
      <c r="K5" s="330"/>
      <c r="L5" s="330"/>
      <c r="M5" s="330"/>
      <c r="N5" s="330"/>
      <c r="O5" s="330"/>
      <c r="P5" s="330"/>
      <c r="Q5" s="329"/>
      <c r="R5" s="329"/>
      <c r="S5" s="329"/>
      <c r="T5" s="329"/>
      <c r="U5" s="329"/>
      <c r="V5" s="329"/>
      <c r="W5" s="329"/>
    </row>
    <row r="6" spans="1:23" ht="15" customHeight="1" x14ac:dyDescent="0.55000000000000004">
      <c r="A6" s="326"/>
      <c r="B6" s="329"/>
      <c r="C6" s="331" t="s">
        <v>405</v>
      </c>
      <c r="D6" s="333">
        <v>0.78500000000000003</v>
      </c>
      <c r="E6" s="331"/>
      <c r="F6" s="331"/>
      <c r="G6" s="330"/>
      <c r="H6" s="330"/>
      <c r="I6" s="330"/>
      <c r="J6" s="330"/>
      <c r="K6" s="330"/>
      <c r="L6" s="330"/>
      <c r="M6" s="330"/>
      <c r="N6" s="330"/>
      <c r="O6" s="330"/>
      <c r="P6" s="330"/>
      <c r="Q6" s="329"/>
      <c r="R6" s="329"/>
      <c r="S6" s="329"/>
      <c r="T6" s="329"/>
      <c r="U6" s="329"/>
      <c r="V6" s="329"/>
      <c r="W6" s="329"/>
    </row>
    <row r="7" spans="1:23" ht="15.75" customHeight="1" x14ac:dyDescent="0.45">
      <c r="A7" s="334" t="s">
        <v>406</v>
      </c>
      <c r="B7" s="329" t="s">
        <v>407</v>
      </c>
      <c r="C7" s="335" t="s">
        <v>408</v>
      </c>
      <c r="D7" s="336" t="s">
        <v>409</v>
      </c>
      <c r="E7" s="336" t="s">
        <v>410</v>
      </c>
      <c r="F7" s="336" t="s">
        <v>411</v>
      </c>
      <c r="G7" s="336" t="s">
        <v>412</v>
      </c>
      <c r="H7" s="336" t="s">
        <v>413</v>
      </c>
      <c r="I7" s="337" t="s">
        <v>414</v>
      </c>
      <c r="J7" s="338"/>
      <c r="K7" s="339" t="s">
        <v>415</v>
      </c>
      <c r="L7" s="340" t="s">
        <v>416</v>
      </c>
      <c r="M7" s="340" t="s">
        <v>417</v>
      </c>
      <c r="N7" s="340" t="s">
        <v>418</v>
      </c>
      <c r="O7" s="341" t="s">
        <v>419</v>
      </c>
      <c r="P7" s="342"/>
      <c r="Q7" s="329"/>
      <c r="R7" s="329"/>
      <c r="S7" s="329"/>
      <c r="T7" s="329"/>
      <c r="U7" s="329"/>
      <c r="V7" s="329"/>
      <c r="W7" s="329"/>
    </row>
    <row r="8" spans="1:23" ht="15.75" customHeight="1" x14ac:dyDescent="0.45">
      <c r="A8" s="524">
        <v>0</v>
      </c>
      <c r="B8" s="329"/>
      <c r="C8" s="343"/>
      <c r="D8" s="329"/>
      <c r="E8" s="344">
        <f>'Budget First 84 months'!C6</f>
        <v>400</v>
      </c>
      <c r="F8" s="345">
        <f>365/12</f>
        <v>30.416666666666668</v>
      </c>
      <c r="G8" s="343"/>
      <c r="H8" s="343"/>
      <c r="I8" s="343"/>
      <c r="J8" s="346"/>
      <c r="K8" s="520" t="s">
        <v>611</v>
      </c>
      <c r="L8" s="347">
        <v>325</v>
      </c>
      <c r="M8" s="347">
        <v>600</v>
      </c>
      <c r="N8" s="347">
        <f t="shared" ref="N8" si="0">(M8+L8)/2</f>
        <v>462.5</v>
      </c>
      <c r="O8" s="348">
        <v>0.5</v>
      </c>
      <c r="P8" s="349">
        <f t="shared" ref="P8:P9" si="1">+O8*N8</f>
        <v>231.25</v>
      </c>
      <c r="Q8" s="329"/>
      <c r="R8" s="329"/>
      <c r="S8" s="329"/>
      <c r="T8" s="329"/>
      <c r="U8" s="329"/>
      <c r="V8" s="329"/>
      <c r="W8" s="329"/>
    </row>
    <row r="9" spans="1:23" ht="15.75" customHeight="1" thickBot="1" x14ac:dyDescent="0.5">
      <c r="A9" s="524">
        <v>0</v>
      </c>
      <c r="B9" s="350">
        <v>7.1320999999999996E-2</v>
      </c>
      <c r="C9" s="351">
        <v>24214</v>
      </c>
      <c r="D9" s="352">
        <f t="shared" ref="D9:D14" si="2">+C9*$B$13</f>
        <v>1481.8968</v>
      </c>
      <c r="E9" s="353">
        <f t="shared" ref="E9:F9" si="3">+E8</f>
        <v>400</v>
      </c>
      <c r="F9" s="354">
        <f t="shared" si="3"/>
        <v>30.416666666666668</v>
      </c>
      <c r="G9" s="355">
        <f t="shared" ref="G9:G14" si="4">+F9*E9*D9*0.9625</f>
        <v>17353628.985000003</v>
      </c>
      <c r="H9" s="355">
        <f t="shared" ref="H9:H14" si="5">G9*12*D$5*D$6</f>
        <v>81735592.519350022</v>
      </c>
      <c r="I9" s="356">
        <f t="shared" ref="I9:I14" si="6">+H9*A9</f>
        <v>0</v>
      </c>
      <c r="J9" s="357"/>
      <c r="K9" s="521" t="s">
        <v>612</v>
      </c>
      <c r="L9" s="358">
        <v>450</v>
      </c>
      <c r="M9" s="358">
        <v>2000</v>
      </c>
      <c r="N9" s="347">
        <v>1140</v>
      </c>
      <c r="O9" s="348">
        <f>1-O8</f>
        <v>0.5</v>
      </c>
      <c r="P9" s="359">
        <f t="shared" si="1"/>
        <v>570</v>
      </c>
      <c r="Q9" s="329"/>
      <c r="R9" s="329"/>
      <c r="S9" s="329"/>
      <c r="T9" s="329"/>
      <c r="U9" s="329"/>
      <c r="V9" s="329"/>
      <c r="W9" s="329"/>
    </row>
    <row r="10" spans="1:23" ht="15.75" customHeight="1" thickBot="1" x14ac:dyDescent="0.5">
      <c r="A10" s="524">
        <v>0</v>
      </c>
      <c r="B10" s="360"/>
      <c r="C10" s="361">
        <v>12100</v>
      </c>
      <c r="D10" s="361">
        <f t="shared" si="2"/>
        <v>740.52</v>
      </c>
      <c r="E10" s="353">
        <f t="shared" ref="E10:F10" si="7">+E9</f>
        <v>400</v>
      </c>
      <c r="F10" s="362">
        <f t="shared" si="7"/>
        <v>30.416666666666668</v>
      </c>
      <c r="G10" s="363">
        <f t="shared" si="4"/>
        <v>8671797.75</v>
      </c>
      <c r="H10" s="355">
        <f t="shared" si="5"/>
        <v>40844167.402500004</v>
      </c>
      <c r="I10" s="364">
        <f t="shared" si="6"/>
        <v>0</v>
      </c>
      <c r="J10" s="357"/>
      <c r="K10" s="365" t="s">
        <v>420</v>
      </c>
      <c r="L10" s="366"/>
      <c r="M10" s="366"/>
      <c r="N10" s="367"/>
      <c r="O10" s="366"/>
      <c r="P10" s="368">
        <f>+P9+P8</f>
        <v>801.25</v>
      </c>
      <c r="Q10" s="329"/>
      <c r="R10" s="329"/>
      <c r="S10" s="329"/>
      <c r="T10" s="329"/>
      <c r="U10" s="329"/>
      <c r="V10" s="329"/>
      <c r="W10" s="329"/>
    </row>
    <row r="11" spans="1:23" ht="15.75" customHeight="1" x14ac:dyDescent="0.45">
      <c r="A11" s="524">
        <v>0</v>
      </c>
      <c r="B11" s="360"/>
      <c r="C11" s="361">
        <v>9750</v>
      </c>
      <c r="D11" s="361">
        <f t="shared" si="2"/>
        <v>596.69999999999993</v>
      </c>
      <c r="E11" s="353">
        <f t="shared" ref="E11:F11" si="8">+E10</f>
        <v>400</v>
      </c>
      <c r="F11" s="362">
        <f t="shared" si="8"/>
        <v>30.416666666666668</v>
      </c>
      <c r="G11" s="363">
        <f t="shared" si="4"/>
        <v>6987605.625</v>
      </c>
      <c r="H11" s="355">
        <f t="shared" si="5"/>
        <v>32911622.493750002</v>
      </c>
      <c r="I11" s="364">
        <f t="shared" si="6"/>
        <v>0</v>
      </c>
      <c r="J11" s="357"/>
      <c r="K11" s="440" t="s">
        <v>421</v>
      </c>
      <c r="L11" s="441"/>
      <c r="M11" s="441"/>
      <c r="N11" s="441"/>
      <c r="O11" s="441"/>
      <c r="P11" s="441"/>
      <c r="Q11" s="441"/>
      <c r="R11" s="442"/>
      <c r="S11" s="329"/>
      <c r="T11" s="329"/>
      <c r="U11" s="329"/>
      <c r="V11" s="329"/>
      <c r="W11" s="329"/>
    </row>
    <row r="12" spans="1:23" ht="15.75" customHeight="1" x14ac:dyDescent="0.45">
      <c r="A12" s="524">
        <v>0</v>
      </c>
      <c r="B12" s="360"/>
      <c r="C12" s="369">
        <v>6450</v>
      </c>
      <c r="D12" s="369">
        <f t="shared" si="2"/>
        <v>394.74</v>
      </c>
      <c r="E12" s="353">
        <f t="shared" ref="E12:F12" si="9">+E11</f>
        <v>400</v>
      </c>
      <c r="F12" s="362">
        <f t="shared" si="9"/>
        <v>30.416666666666668</v>
      </c>
      <c r="G12" s="364">
        <f t="shared" si="4"/>
        <v>4622569.8750000009</v>
      </c>
      <c r="H12" s="355">
        <f t="shared" si="5"/>
        <v>21772304.111250006</v>
      </c>
      <c r="I12" s="364">
        <f t="shared" si="6"/>
        <v>0</v>
      </c>
      <c r="J12" s="357"/>
      <c r="K12" s="527" t="s">
        <v>616</v>
      </c>
      <c r="L12" s="528" t="s">
        <v>614</v>
      </c>
      <c r="M12" s="443"/>
      <c r="N12" s="443"/>
      <c r="O12" s="443"/>
      <c r="P12" s="443"/>
      <c r="Q12" s="443"/>
      <c r="R12" s="444"/>
      <c r="S12" s="329"/>
      <c r="T12" s="329"/>
      <c r="U12" s="329"/>
      <c r="V12" s="329"/>
      <c r="W12" s="329"/>
    </row>
    <row r="13" spans="1:23" ht="15.75" customHeight="1" thickBot="1" x14ac:dyDescent="0.5">
      <c r="A13" s="524">
        <v>0</v>
      </c>
      <c r="B13" s="370">
        <v>6.1199999999999997E-2</v>
      </c>
      <c r="C13" s="369">
        <v>4000</v>
      </c>
      <c r="D13" s="369">
        <f t="shared" si="2"/>
        <v>244.79999999999998</v>
      </c>
      <c r="E13" s="353">
        <f t="shared" ref="E13:F13" si="10">+E12</f>
        <v>400</v>
      </c>
      <c r="F13" s="371">
        <f t="shared" si="10"/>
        <v>30.416666666666668</v>
      </c>
      <c r="G13" s="364">
        <f t="shared" si="4"/>
        <v>2866710</v>
      </c>
      <c r="H13" s="355">
        <f t="shared" si="5"/>
        <v>13502204.1</v>
      </c>
      <c r="I13" s="364">
        <f t="shared" si="6"/>
        <v>0</v>
      </c>
      <c r="J13" s="357"/>
      <c r="K13" s="529" t="s">
        <v>612</v>
      </c>
      <c r="L13" s="525" t="s">
        <v>615</v>
      </c>
      <c r="M13" s="525"/>
      <c r="N13" s="525"/>
      <c r="O13" s="525"/>
      <c r="P13" s="525"/>
      <c r="Q13" s="525"/>
      <c r="R13" s="526"/>
      <c r="S13" s="329"/>
      <c r="T13" s="329"/>
      <c r="U13" s="329"/>
      <c r="V13" s="329"/>
      <c r="W13" s="329"/>
    </row>
    <row r="14" spans="1:23" ht="15.75" customHeight="1" thickBot="1" x14ac:dyDescent="0.5">
      <c r="A14" s="523">
        <v>1</v>
      </c>
      <c r="B14" s="372">
        <v>4.0904000000000003E-2</v>
      </c>
      <c r="C14" s="373">
        <v>1251.2</v>
      </c>
      <c r="D14" s="374">
        <f t="shared" si="2"/>
        <v>76.573440000000005</v>
      </c>
      <c r="E14" s="353">
        <f t="shared" ref="E14:F14" si="11">+E13</f>
        <v>400</v>
      </c>
      <c r="F14" s="375">
        <f t="shared" si="11"/>
        <v>30.416666666666668</v>
      </c>
      <c r="G14" s="376">
        <f t="shared" si="4"/>
        <v>896706.88800000015</v>
      </c>
      <c r="H14" s="355">
        <f t="shared" si="5"/>
        <v>4223489.4424800007</v>
      </c>
      <c r="I14" s="377">
        <f t="shared" si="6"/>
        <v>4223489.4424800007</v>
      </c>
      <c r="J14" s="357"/>
      <c r="K14" s="329"/>
      <c r="L14" s="329"/>
      <c r="M14" s="329"/>
      <c r="N14" s="329"/>
      <c r="O14" s="329"/>
      <c r="P14" s="329"/>
      <c r="Q14" s="329"/>
      <c r="R14" s="329"/>
      <c r="S14" s="329"/>
      <c r="T14" s="329"/>
      <c r="U14" s="329"/>
      <c r="V14" s="329"/>
      <c r="W14" s="329"/>
    </row>
    <row r="15" spans="1:23" ht="15.75" customHeight="1" x14ac:dyDescent="0.45">
      <c r="A15" s="326"/>
      <c r="B15" s="360"/>
      <c r="C15" s="665" t="s">
        <v>422</v>
      </c>
      <c r="D15" s="666"/>
      <c r="E15" s="666"/>
      <c r="F15" s="666"/>
      <c r="G15" s="667"/>
      <c r="H15" s="378" t="s">
        <v>423</v>
      </c>
      <c r="I15" s="379">
        <f>SUM(I9:I14)</f>
        <v>4223489.4424800007</v>
      </c>
      <c r="J15" s="357"/>
      <c r="K15" s="329"/>
      <c r="L15" s="329"/>
      <c r="M15" s="329"/>
      <c r="N15" s="329"/>
      <c r="O15" s="329"/>
      <c r="P15" s="329"/>
      <c r="Q15" s="329"/>
      <c r="R15" s="329"/>
      <c r="S15" s="329"/>
      <c r="T15" s="329"/>
      <c r="U15" s="329"/>
      <c r="V15" s="329"/>
      <c r="W15" s="329"/>
    </row>
    <row r="16" spans="1:23" ht="15.75" customHeight="1" thickBot="1" x14ac:dyDescent="0.5">
      <c r="A16" s="326"/>
      <c r="B16" s="329"/>
      <c r="C16" s="668"/>
      <c r="D16" s="634"/>
      <c r="E16" s="634"/>
      <c r="F16" s="634"/>
      <c r="G16" s="653"/>
      <c r="H16" s="380" t="s">
        <v>424</v>
      </c>
      <c r="I16" s="381">
        <f>+I15/E19</f>
        <v>88808990.33160001</v>
      </c>
      <c r="J16" s="329"/>
      <c r="K16" s="329"/>
      <c r="L16" s="329"/>
      <c r="M16" s="329"/>
      <c r="N16" s="329"/>
      <c r="O16" s="329"/>
      <c r="P16" s="329"/>
      <c r="Q16" s="329"/>
      <c r="R16" s="329"/>
      <c r="S16" s="329"/>
      <c r="T16" s="329"/>
      <c r="U16" s="329"/>
      <c r="V16" s="329"/>
      <c r="W16" s="329"/>
    </row>
    <row r="17" spans="1:23" ht="15.75" customHeight="1" x14ac:dyDescent="0.45">
      <c r="A17" s="326"/>
      <c r="B17" s="329"/>
      <c r="C17" s="382"/>
      <c r="D17" s="382"/>
      <c r="E17" s="382"/>
      <c r="F17" s="382"/>
      <c r="G17" s="382"/>
      <c r="H17" s="383"/>
      <c r="I17" s="384"/>
      <c r="J17" s="329"/>
      <c r="K17" s="329"/>
      <c r="L17" s="329"/>
      <c r="M17" s="329"/>
      <c r="N17" s="329"/>
      <c r="O17" s="329"/>
      <c r="P17" s="329"/>
      <c r="Q17" s="329"/>
      <c r="R17" s="329"/>
      <c r="S17" s="329"/>
      <c r="T17" s="329"/>
      <c r="U17" s="329"/>
      <c r="V17" s="329"/>
      <c r="W17" s="329"/>
    </row>
    <row r="18" spans="1:23" ht="15.75" customHeight="1" x14ac:dyDescent="0.45">
      <c r="A18" s="385"/>
      <c r="B18" s="194"/>
      <c r="C18" s="386" t="s">
        <v>358</v>
      </c>
      <c r="D18" s="386" t="s">
        <v>425</v>
      </c>
      <c r="E18" s="386">
        <v>2</v>
      </c>
      <c r="F18" s="386">
        <v>3</v>
      </c>
      <c r="G18" s="386">
        <v>4</v>
      </c>
      <c r="H18" s="386">
        <v>5</v>
      </c>
      <c r="I18" s="386">
        <v>6</v>
      </c>
      <c r="J18" s="386">
        <v>7</v>
      </c>
      <c r="K18" s="386">
        <v>8</v>
      </c>
      <c r="L18" s="386">
        <v>9</v>
      </c>
      <c r="M18" s="386">
        <v>10</v>
      </c>
      <c r="N18" s="386">
        <v>11</v>
      </c>
      <c r="O18" s="386">
        <f t="shared" ref="O18:V18" si="12">+N18+1</f>
        <v>12</v>
      </c>
      <c r="P18" s="386">
        <f t="shared" si="12"/>
        <v>13</v>
      </c>
      <c r="Q18" s="386">
        <f t="shared" si="12"/>
        <v>14</v>
      </c>
      <c r="R18" s="386">
        <f t="shared" si="12"/>
        <v>15</v>
      </c>
      <c r="S18" s="386">
        <f>+R18+1</f>
        <v>16</v>
      </c>
      <c r="T18" s="386">
        <f t="shared" si="12"/>
        <v>17</v>
      </c>
      <c r="U18" s="386">
        <f t="shared" si="12"/>
        <v>18</v>
      </c>
      <c r="V18" s="386">
        <f t="shared" si="12"/>
        <v>19</v>
      </c>
      <c r="W18" s="386" t="s">
        <v>426</v>
      </c>
    </row>
    <row r="19" spans="1:23" ht="15.75" customHeight="1" x14ac:dyDescent="0.45">
      <c r="A19" s="326"/>
      <c r="B19" s="329"/>
      <c r="C19" s="329" t="s">
        <v>427</v>
      </c>
      <c r="D19" s="348">
        <v>0</v>
      </c>
      <c r="E19" s="372">
        <v>4.7557003257328992E-2</v>
      </c>
      <c r="F19" s="372">
        <v>5.7328990228013028E-2</v>
      </c>
      <c r="G19" s="372">
        <v>6.8403908794788276E-2</v>
      </c>
      <c r="H19" s="372">
        <v>7.8175895765472306E-2</v>
      </c>
      <c r="I19" s="372">
        <v>6.6449511400651459E-2</v>
      </c>
      <c r="J19" s="372">
        <v>9.1205211726384364E-2</v>
      </c>
      <c r="K19" s="372">
        <v>8.5993485342019546E-2</v>
      </c>
      <c r="L19" s="372">
        <v>6.9055374592833882E-2</v>
      </c>
      <c r="M19" s="372">
        <v>7.42671009771987E-2</v>
      </c>
      <c r="N19" s="372">
        <v>6.384364820846905E-2</v>
      </c>
      <c r="O19" s="372">
        <v>6.3192182410423459E-2</v>
      </c>
      <c r="P19" s="372">
        <v>5.0814332247557006E-2</v>
      </c>
      <c r="Q19" s="372">
        <v>4.2996742671009773E-2</v>
      </c>
      <c r="R19" s="372">
        <v>3.9087947882736153E-2</v>
      </c>
      <c r="S19" s="372">
        <v>3.2573289902280131E-2</v>
      </c>
      <c r="T19" s="372">
        <v>2.6058631921824105E-2</v>
      </c>
      <c r="U19" s="372">
        <v>2.3452768729641693E-2</v>
      </c>
      <c r="V19" s="372">
        <v>1.9543973941368076E-2</v>
      </c>
      <c r="W19" s="348">
        <f>SUM(D19:V19)</f>
        <v>1</v>
      </c>
    </row>
    <row r="20" spans="1:23" ht="15.75" customHeight="1" x14ac:dyDescent="0.45">
      <c r="A20" s="326"/>
      <c r="B20" s="329"/>
      <c r="C20" s="387" t="s">
        <v>428</v>
      </c>
      <c r="D20" s="358">
        <v>0</v>
      </c>
      <c r="E20" s="358">
        <f t="shared" ref="E20:J20" si="13">($I16*E19)</f>
        <v>4223489.4424800007</v>
      </c>
      <c r="F20" s="358">
        <f t="shared" si="13"/>
        <v>5091329.7388800001</v>
      </c>
      <c r="G20" s="358">
        <f t="shared" si="13"/>
        <v>6074882.0748000005</v>
      </c>
      <c r="H20" s="358">
        <f t="shared" si="13"/>
        <v>6942722.3711999999</v>
      </c>
      <c r="I20" s="358">
        <f t="shared" si="13"/>
        <v>5901314.0155199999</v>
      </c>
      <c r="J20" s="358">
        <f t="shared" si="13"/>
        <v>8099842.766400001</v>
      </c>
      <c r="K20" s="358">
        <f t="shared" ref="K20:V20" si="14">($I16*K19)</f>
        <v>7636994.6083200015</v>
      </c>
      <c r="L20" s="358">
        <f t="shared" si="14"/>
        <v>6132738.094560001</v>
      </c>
      <c r="M20" s="358">
        <f t="shared" si="14"/>
        <v>6595586.2526400005</v>
      </c>
      <c r="N20" s="358">
        <f t="shared" si="14"/>
        <v>5669889.9364800006</v>
      </c>
      <c r="O20" s="358">
        <f t="shared" si="14"/>
        <v>5612033.916720001</v>
      </c>
      <c r="P20" s="358">
        <f t="shared" si="14"/>
        <v>4512769.5412800005</v>
      </c>
      <c r="Q20" s="358">
        <f t="shared" si="14"/>
        <v>3818497.3041600008</v>
      </c>
      <c r="R20" s="358">
        <f t="shared" si="14"/>
        <v>3471361.1856</v>
      </c>
      <c r="S20" s="358">
        <f t="shared" si="14"/>
        <v>2892800.9880000004</v>
      </c>
      <c r="T20" s="358">
        <f t="shared" si="14"/>
        <v>2314240.7904000003</v>
      </c>
      <c r="U20" s="358">
        <f t="shared" si="14"/>
        <v>2082816.7113600001</v>
      </c>
      <c r="V20" s="358">
        <f t="shared" si="14"/>
        <v>1735680.5928</v>
      </c>
      <c r="W20" s="358">
        <f>SUM(E20:V20)</f>
        <v>88808990.331599995</v>
      </c>
    </row>
    <row r="21" spans="1:23" ht="17.25" customHeight="1" x14ac:dyDescent="0.45">
      <c r="A21" s="326"/>
      <c r="B21" s="329"/>
      <c r="C21" s="387"/>
      <c r="D21" s="358"/>
      <c r="E21" s="358"/>
      <c r="F21" s="358"/>
      <c r="G21" s="358"/>
      <c r="H21" s="358"/>
      <c r="I21" s="358"/>
      <c r="J21" s="358"/>
      <c r="K21" s="358"/>
      <c r="L21" s="358"/>
      <c r="M21" s="358"/>
      <c r="N21" s="358"/>
      <c r="O21" s="358"/>
      <c r="P21" s="358"/>
      <c r="Q21" s="358"/>
      <c r="R21" s="358"/>
      <c r="S21" s="358"/>
      <c r="T21" s="358"/>
      <c r="U21" s="358"/>
      <c r="V21" s="358"/>
      <c r="W21" s="358"/>
    </row>
    <row r="22" spans="1:23" ht="15.75" customHeight="1" x14ac:dyDescent="0.45">
      <c r="A22" s="326"/>
      <c r="B22" s="329"/>
      <c r="C22" s="388"/>
      <c r="D22" s="358"/>
      <c r="E22" s="358"/>
      <c r="F22" s="358"/>
      <c r="G22" s="358"/>
      <c r="H22" s="358"/>
      <c r="I22" s="358"/>
      <c r="J22" s="358"/>
      <c r="K22" s="358"/>
      <c r="L22" s="358"/>
      <c r="M22" s="358"/>
      <c r="N22" s="358"/>
      <c r="O22" s="358"/>
      <c r="P22" s="358"/>
      <c r="Q22" s="358"/>
      <c r="R22" s="358"/>
      <c r="S22" s="358"/>
      <c r="T22" s="358"/>
      <c r="U22" s="358"/>
      <c r="V22" s="358"/>
      <c r="W22" s="358"/>
    </row>
    <row r="23" spans="1:23" ht="15.75" customHeight="1" x14ac:dyDescent="0.45">
      <c r="A23" s="326"/>
      <c r="B23" s="329"/>
      <c r="C23" s="663" t="s">
        <v>429</v>
      </c>
      <c r="D23" s="663"/>
      <c r="E23" s="663"/>
      <c r="F23" s="663"/>
      <c r="G23" s="663"/>
      <c r="H23" s="663"/>
      <c r="I23" s="663"/>
      <c r="J23" s="456"/>
      <c r="K23" s="456"/>
      <c r="L23" s="456"/>
      <c r="M23" s="456"/>
      <c r="N23" s="456"/>
      <c r="O23" s="456"/>
      <c r="P23" s="412"/>
      <c r="Q23" s="358"/>
      <c r="R23" s="358"/>
      <c r="S23" s="358"/>
      <c r="T23" s="358"/>
      <c r="U23" s="358"/>
      <c r="V23" s="358"/>
      <c r="W23" s="358"/>
    </row>
    <row r="24" spans="1:23" ht="15.75" customHeight="1" x14ac:dyDescent="0.45">
      <c r="A24" s="326"/>
      <c r="B24" s="329"/>
      <c r="C24" s="387"/>
      <c r="D24" s="358"/>
      <c r="E24" s="358"/>
      <c r="F24" s="358"/>
      <c r="G24" s="358"/>
      <c r="H24" s="358"/>
      <c r="I24" s="358"/>
      <c r="J24" s="358"/>
      <c r="K24" s="358"/>
      <c r="L24" s="358"/>
      <c r="M24" s="358"/>
      <c r="N24" s="358"/>
      <c r="O24" s="358"/>
      <c r="P24" s="358"/>
      <c r="Q24" s="358"/>
      <c r="R24" s="358"/>
      <c r="S24" s="358"/>
      <c r="T24" s="358"/>
      <c r="U24" s="358"/>
      <c r="V24" s="358"/>
      <c r="W24" s="358"/>
    </row>
    <row r="25" spans="1:23" ht="63.9" customHeight="1" x14ac:dyDescent="0.45">
      <c r="A25" s="326"/>
      <c r="B25" s="329"/>
      <c r="C25" s="669" t="s">
        <v>613</v>
      </c>
      <c r="D25" s="636"/>
      <c r="E25" s="636"/>
      <c r="F25" s="636"/>
      <c r="G25" s="636"/>
      <c r="H25" s="636"/>
      <c r="I25" s="636"/>
      <c r="J25" s="329"/>
      <c r="K25" s="329"/>
      <c r="L25" s="329"/>
      <c r="M25" s="329"/>
      <c r="N25" s="329"/>
      <c r="O25" s="329"/>
      <c r="P25" s="329"/>
      <c r="Q25" s="329"/>
      <c r="R25" s="329"/>
      <c r="S25" s="329"/>
      <c r="T25" s="329"/>
      <c r="U25" s="329"/>
      <c r="V25" s="329"/>
      <c r="W25" s="329"/>
    </row>
    <row r="26" spans="1:23" ht="15.75" customHeight="1" x14ac:dyDescent="0.45">
      <c r="A26" s="326"/>
      <c r="B26" s="662"/>
      <c r="C26" s="636"/>
      <c r="D26" s="390"/>
      <c r="E26" s="329"/>
      <c r="F26" s="329"/>
      <c r="G26" s="329"/>
      <c r="H26" s="329"/>
      <c r="I26" s="329"/>
      <c r="J26" s="329"/>
      <c r="K26" s="329"/>
      <c r="L26" s="329"/>
      <c r="M26" s="329"/>
      <c r="N26" s="329"/>
      <c r="O26" s="329"/>
      <c r="P26" s="329"/>
      <c r="Q26" s="329"/>
      <c r="R26" s="329"/>
      <c r="S26" s="329"/>
      <c r="T26" s="329"/>
      <c r="U26" s="329"/>
      <c r="V26" s="329"/>
      <c r="W26" s="329"/>
    </row>
    <row r="27" spans="1:23" ht="15.75" customHeight="1" x14ac:dyDescent="0.45">
      <c r="A27" s="326"/>
      <c r="B27" s="389"/>
      <c r="C27" s="389"/>
      <c r="D27" s="389"/>
      <c r="E27" s="389"/>
      <c r="F27" s="389"/>
      <c r="G27" s="389"/>
      <c r="H27" s="389"/>
      <c r="I27" s="389"/>
      <c r="J27" s="389"/>
      <c r="K27" s="329"/>
      <c r="L27" s="329"/>
      <c r="M27" s="329"/>
      <c r="N27" s="329"/>
      <c r="O27" s="329"/>
      <c r="P27" s="329"/>
      <c r="Q27" s="329"/>
      <c r="R27" s="329"/>
      <c r="S27" s="329"/>
      <c r="T27" s="329"/>
      <c r="U27" s="329"/>
      <c r="V27" s="329"/>
      <c r="W27" s="329"/>
    </row>
    <row r="28" spans="1:23" ht="15.75" customHeight="1" x14ac:dyDescent="0.45">
      <c r="A28" s="326"/>
      <c r="B28" s="329"/>
      <c r="C28" s="391" t="s">
        <v>430</v>
      </c>
      <c r="D28" s="392" t="s">
        <v>431</v>
      </c>
      <c r="E28" s="348"/>
      <c r="F28" s="393"/>
      <c r="G28" s="329"/>
      <c r="H28" s="329"/>
      <c r="I28" s="329"/>
      <c r="J28" s="329"/>
      <c r="K28" s="329"/>
      <c r="L28" s="329"/>
      <c r="M28" s="329"/>
      <c r="N28" s="329"/>
      <c r="O28" s="329"/>
      <c r="P28" s="329"/>
      <c r="Q28" s="329"/>
      <c r="R28" s="329"/>
      <c r="S28" s="329"/>
      <c r="T28" s="329"/>
      <c r="U28" s="329"/>
      <c r="V28" s="329"/>
      <c r="W28" s="329"/>
    </row>
    <row r="29" spans="1:23" ht="15.75" customHeight="1" x14ac:dyDescent="0.45">
      <c r="A29" s="326"/>
      <c r="B29" s="329"/>
      <c r="C29" s="392"/>
      <c r="D29" s="392" t="s">
        <v>432</v>
      </c>
      <c r="E29" s="394">
        <f>+E8/P10</f>
        <v>0.49921996879875197</v>
      </c>
      <c r="F29" s="395" t="s">
        <v>433</v>
      </c>
      <c r="G29" s="329"/>
      <c r="H29" s="329"/>
      <c r="I29" s="329"/>
      <c r="J29" s="329"/>
      <c r="K29" s="329"/>
      <c r="L29" s="329"/>
      <c r="M29" s="329"/>
      <c r="N29" s="329"/>
      <c r="O29" s="329"/>
      <c r="P29" s="329"/>
      <c r="Q29" s="329"/>
      <c r="R29" s="329"/>
      <c r="S29" s="329"/>
      <c r="T29" s="329"/>
      <c r="U29" s="329"/>
      <c r="V29" s="329"/>
      <c r="W29" s="329"/>
    </row>
    <row r="30" spans="1:23" ht="15.75" customHeight="1" x14ac:dyDescent="0.45">
      <c r="A30" s="326"/>
      <c r="B30" s="329"/>
      <c r="C30" s="392"/>
      <c r="D30" s="392" t="s">
        <v>434</v>
      </c>
      <c r="E30" s="396"/>
      <c r="F30" s="396"/>
      <c r="G30" s="329"/>
      <c r="H30" s="329"/>
      <c r="I30" s="329"/>
      <c r="J30" s="329"/>
      <c r="K30" s="329"/>
      <c r="L30" s="358"/>
      <c r="M30" s="358"/>
      <c r="N30" s="358"/>
      <c r="O30" s="358"/>
      <c r="P30" s="329"/>
      <c r="Q30" s="329"/>
      <c r="R30" s="329"/>
      <c r="S30" s="329"/>
      <c r="T30" s="329"/>
      <c r="U30" s="329"/>
      <c r="V30" s="329"/>
      <c r="W30" s="329"/>
    </row>
    <row r="31" spans="1:23" ht="15.75" customHeight="1" x14ac:dyDescent="0.45">
      <c r="A31" s="326"/>
      <c r="B31" s="329"/>
      <c r="C31" s="329"/>
      <c r="D31" s="392" t="s">
        <v>435</v>
      </c>
      <c r="E31" s="397"/>
      <c r="F31" s="397"/>
      <c r="G31" s="329"/>
      <c r="H31" s="329"/>
      <c r="I31" s="329"/>
      <c r="J31" s="329"/>
      <c r="K31" s="329"/>
      <c r="L31" s="329"/>
      <c r="M31" s="329"/>
      <c r="N31" s="329"/>
      <c r="O31" s="329"/>
      <c r="P31" s="329"/>
      <c r="Q31" s="329"/>
      <c r="R31" s="329"/>
      <c r="S31" s="329"/>
      <c r="T31" s="329"/>
      <c r="U31" s="329"/>
      <c r="V31" s="329"/>
      <c r="W31" s="329"/>
    </row>
    <row r="32" spans="1:23" ht="15.75" customHeight="1" x14ac:dyDescent="0.45">
      <c r="A32" s="326"/>
      <c r="B32" s="329"/>
      <c r="C32" s="329"/>
      <c r="D32" s="398" t="s">
        <v>436</v>
      </c>
      <c r="E32" s="329"/>
      <c r="F32" s="329"/>
      <c r="G32" s="329"/>
      <c r="H32" s="329"/>
      <c r="I32" s="329"/>
      <c r="J32" s="329"/>
      <c r="K32" s="329"/>
      <c r="L32" s="329"/>
      <c r="M32" s="329"/>
      <c r="N32" s="329"/>
      <c r="O32" s="329"/>
      <c r="P32" s="329"/>
      <c r="Q32" s="329"/>
      <c r="R32" s="329"/>
      <c r="S32" s="329"/>
      <c r="T32" s="329"/>
      <c r="U32" s="329"/>
      <c r="V32" s="329"/>
      <c r="W32" s="329"/>
    </row>
    <row r="33" spans="1:23" ht="15.75" customHeight="1" x14ac:dyDescent="0.45">
      <c r="A33" s="326"/>
      <c r="B33" s="329"/>
      <c r="C33" s="329"/>
      <c r="D33" s="329"/>
      <c r="E33" s="329"/>
      <c r="F33" s="329"/>
      <c r="G33" s="329"/>
      <c r="H33" s="329"/>
      <c r="I33" s="329"/>
      <c r="J33" s="329"/>
      <c r="K33" s="329"/>
      <c r="L33" s="329"/>
      <c r="M33" s="329"/>
      <c r="N33" s="329"/>
      <c r="O33" s="329"/>
      <c r="P33" s="329"/>
      <c r="Q33" s="329"/>
      <c r="R33" s="329"/>
      <c r="S33" s="329"/>
      <c r="T33" s="329"/>
      <c r="U33" s="329"/>
      <c r="V33" s="329"/>
      <c r="W33" s="329"/>
    </row>
    <row r="34" spans="1:23" ht="15.75" customHeight="1" x14ac:dyDescent="0.45">
      <c r="A34" s="326"/>
      <c r="B34" s="329"/>
      <c r="C34" s="329"/>
      <c r="D34" s="329"/>
      <c r="E34" s="329"/>
      <c r="F34" s="329"/>
      <c r="G34" s="329"/>
      <c r="H34" s="329"/>
      <c r="I34" s="329"/>
      <c r="J34" s="329"/>
      <c r="K34" s="329"/>
      <c r="L34" s="329"/>
      <c r="M34" s="329"/>
      <c r="N34" s="329"/>
      <c r="O34" s="329"/>
      <c r="P34" s="329"/>
      <c r="Q34" s="329"/>
      <c r="R34" s="329"/>
      <c r="S34" s="329"/>
      <c r="T34" s="329"/>
      <c r="U34" s="329"/>
      <c r="V34" s="329"/>
      <c r="W34" s="329"/>
    </row>
    <row r="35" spans="1:23" ht="15.75" customHeight="1" x14ac:dyDescent="0.45">
      <c r="A35" s="326"/>
      <c r="B35" s="329"/>
      <c r="C35" s="329"/>
      <c r="D35" s="329"/>
      <c r="E35" s="329"/>
      <c r="F35" s="329"/>
      <c r="G35" s="329"/>
      <c r="H35" s="329"/>
      <c r="I35" s="329"/>
      <c r="J35" s="329"/>
      <c r="K35" s="329"/>
      <c r="L35" s="329"/>
      <c r="M35" s="329"/>
      <c r="N35" s="329"/>
      <c r="O35" s="329"/>
      <c r="P35" s="329"/>
      <c r="Q35" s="329"/>
      <c r="R35" s="329"/>
      <c r="S35" s="329"/>
      <c r="T35" s="329"/>
      <c r="U35" s="329"/>
      <c r="V35" s="329"/>
      <c r="W35" s="329"/>
    </row>
    <row r="36" spans="1:23" ht="30" customHeight="1" x14ac:dyDescent="0.45">
      <c r="A36" s="326"/>
      <c r="B36" s="329"/>
      <c r="C36" s="329"/>
      <c r="D36" s="329"/>
      <c r="E36" s="329"/>
      <c r="F36" s="329"/>
      <c r="G36" s="329"/>
      <c r="H36" s="329"/>
      <c r="I36" s="329"/>
      <c r="J36" s="329"/>
      <c r="K36" s="329"/>
      <c r="L36" s="329"/>
      <c r="M36" s="329"/>
      <c r="N36" s="329"/>
      <c r="O36" s="329"/>
      <c r="P36" s="329"/>
      <c r="Q36" s="329"/>
      <c r="R36" s="329"/>
      <c r="S36" s="329"/>
      <c r="T36" s="329"/>
      <c r="U36" s="329"/>
      <c r="V36" s="329"/>
      <c r="W36" s="329"/>
    </row>
    <row r="37" spans="1:23" ht="15.75" customHeight="1" x14ac:dyDescent="0.45">
      <c r="A37" s="326"/>
      <c r="B37" s="329"/>
      <c r="C37" s="329"/>
      <c r="D37" s="329"/>
      <c r="E37" s="329"/>
      <c r="F37" s="329"/>
      <c r="G37" s="329"/>
      <c r="H37" s="329"/>
      <c r="I37" s="329"/>
      <c r="J37" s="329"/>
      <c r="K37" s="329"/>
      <c r="L37" s="329"/>
      <c r="M37" s="329"/>
      <c r="N37" s="329"/>
      <c r="O37" s="329"/>
      <c r="P37" s="329"/>
      <c r="Q37" s="329"/>
      <c r="R37" s="329"/>
      <c r="S37" s="329"/>
      <c r="T37" s="329"/>
      <c r="U37" s="329"/>
      <c r="V37" s="329"/>
      <c r="W37" s="329"/>
    </row>
    <row r="38" spans="1:23" ht="15.75" customHeight="1" x14ac:dyDescent="0.45">
      <c r="A38" s="326"/>
      <c r="B38" s="329"/>
      <c r="C38" s="329"/>
      <c r="D38" s="329"/>
      <c r="E38" s="329"/>
      <c r="F38" s="329"/>
      <c r="G38" s="329"/>
      <c r="H38" s="329"/>
      <c r="I38" s="329"/>
      <c r="J38" s="329"/>
      <c r="K38" s="329"/>
      <c r="L38" s="329"/>
      <c r="M38" s="329"/>
      <c r="N38" s="329"/>
      <c r="O38" s="329"/>
      <c r="P38" s="329"/>
      <c r="Q38" s="329"/>
      <c r="R38" s="329"/>
      <c r="S38" s="329"/>
      <c r="T38" s="329"/>
      <c r="U38" s="329"/>
      <c r="V38" s="329"/>
      <c r="W38" s="329"/>
    </row>
    <row r="39" spans="1:23" ht="15.75" customHeight="1" x14ac:dyDescent="0.45">
      <c r="A39" s="326"/>
      <c r="B39" s="329"/>
      <c r="C39" s="329"/>
      <c r="D39" s="329"/>
      <c r="E39" s="329"/>
      <c r="F39" s="329"/>
      <c r="G39" s="329"/>
      <c r="H39" s="329"/>
      <c r="I39" s="329"/>
      <c r="J39" s="329"/>
      <c r="K39" s="329"/>
      <c r="L39" s="329"/>
      <c r="M39" s="329"/>
      <c r="N39" s="329"/>
      <c r="O39" s="329"/>
      <c r="P39" s="329"/>
      <c r="Q39" s="329"/>
      <c r="R39" s="329"/>
      <c r="S39" s="329"/>
      <c r="T39" s="329"/>
      <c r="U39" s="329"/>
      <c r="V39" s="329"/>
      <c r="W39" s="329"/>
    </row>
    <row r="40" spans="1:23" ht="15.75" customHeight="1" x14ac:dyDescent="0.45">
      <c r="A40" s="326"/>
      <c r="B40" s="329"/>
      <c r="C40" s="329"/>
      <c r="D40" s="329"/>
      <c r="E40" s="329"/>
      <c r="F40" s="329"/>
      <c r="G40" s="329"/>
      <c r="H40" s="329"/>
      <c r="I40" s="329"/>
      <c r="J40" s="329"/>
      <c r="K40" s="329"/>
      <c r="L40" s="329"/>
      <c r="M40" s="329"/>
      <c r="N40" s="329"/>
      <c r="O40" s="329"/>
      <c r="P40" s="329"/>
      <c r="Q40" s="329"/>
      <c r="R40" s="329"/>
      <c r="S40" s="329"/>
      <c r="T40" s="329"/>
      <c r="U40" s="329"/>
      <c r="V40" s="329"/>
      <c r="W40" s="329"/>
    </row>
    <row r="41" spans="1:23" ht="48.75" customHeight="1" x14ac:dyDescent="0.45">
      <c r="A41" s="326"/>
      <c r="B41" s="329"/>
      <c r="C41" s="329"/>
      <c r="D41" s="329"/>
      <c r="E41" s="329"/>
      <c r="F41" s="329"/>
      <c r="G41" s="329"/>
      <c r="H41" s="329"/>
      <c r="I41" s="329"/>
      <c r="J41" s="329"/>
      <c r="K41" s="329"/>
      <c r="L41" s="329"/>
      <c r="M41" s="329"/>
      <c r="N41" s="329"/>
      <c r="O41" s="329"/>
      <c r="P41" s="329"/>
      <c r="Q41" s="329"/>
      <c r="R41" s="329"/>
      <c r="S41" s="329"/>
      <c r="T41" s="329"/>
      <c r="U41" s="329"/>
      <c r="V41" s="329"/>
      <c r="W41" s="329"/>
    </row>
    <row r="42" spans="1:23" ht="15.75" customHeight="1" x14ac:dyDescent="0.45">
      <c r="A42" s="326"/>
      <c r="B42" s="329"/>
      <c r="C42" s="329"/>
      <c r="D42" s="329"/>
      <c r="E42" s="329"/>
      <c r="F42" s="329"/>
      <c r="G42" s="329"/>
      <c r="H42" s="329"/>
      <c r="I42" s="329"/>
      <c r="J42" s="329"/>
      <c r="K42" s="329"/>
      <c r="L42" s="329"/>
      <c r="M42" s="329"/>
      <c r="N42" s="329"/>
      <c r="O42" s="329"/>
      <c r="P42" s="329"/>
      <c r="Q42" s="329"/>
      <c r="R42" s="329"/>
      <c r="S42" s="329"/>
      <c r="T42" s="329"/>
      <c r="U42" s="329"/>
      <c r="V42" s="329"/>
      <c r="W42" s="329"/>
    </row>
    <row r="43" spans="1:23" ht="15.75" customHeight="1" x14ac:dyDescent="0.45">
      <c r="A43" s="326"/>
      <c r="B43" s="329"/>
      <c r="C43" s="329"/>
      <c r="D43" s="329"/>
      <c r="E43" s="329"/>
      <c r="F43" s="329"/>
      <c r="G43" s="329"/>
      <c r="H43" s="329"/>
      <c r="I43" s="329"/>
      <c r="J43" s="329"/>
      <c r="K43" s="329"/>
      <c r="L43" s="329"/>
      <c r="M43" s="329"/>
      <c r="N43" s="329"/>
      <c r="O43" s="329"/>
      <c r="P43" s="329"/>
      <c r="Q43" s="329"/>
      <c r="R43" s="329"/>
      <c r="S43" s="329"/>
      <c r="T43" s="329"/>
      <c r="U43" s="329"/>
      <c r="V43" s="329"/>
      <c r="W43" s="329"/>
    </row>
    <row r="44" spans="1:23" ht="15.75" customHeight="1" x14ac:dyDescent="0.45">
      <c r="A44" s="326"/>
      <c r="B44" s="329"/>
      <c r="C44" s="329"/>
      <c r="D44" s="329"/>
      <c r="E44" s="329"/>
      <c r="F44" s="329"/>
      <c r="G44" s="329"/>
      <c r="H44" s="329"/>
      <c r="I44" s="329"/>
      <c r="J44" s="329"/>
      <c r="K44" s="329"/>
      <c r="L44" s="329"/>
      <c r="M44" s="329"/>
      <c r="N44" s="329"/>
      <c r="O44" s="329"/>
      <c r="P44" s="329"/>
      <c r="Q44" s="329"/>
      <c r="R44" s="329"/>
      <c r="S44" s="329"/>
      <c r="T44" s="329"/>
      <c r="U44" s="329"/>
      <c r="V44" s="329"/>
      <c r="W44" s="329"/>
    </row>
    <row r="45" spans="1:23" ht="15.75" customHeight="1" x14ac:dyDescent="0.45">
      <c r="A45" s="326"/>
      <c r="B45" s="329"/>
      <c r="C45" s="329"/>
      <c r="D45" s="329"/>
      <c r="E45" s="329"/>
      <c r="F45" s="329"/>
      <c r="G45" s="329"/>
      <c r="H45" s="329"/>
      <c r="I45" s="329"/>
      <c r="J45" s="329"/>
      <c r="K45" s="329"/>
      <c r="L45" s="329"/>
      <c r="M45" s="329"/>
      <c r="N45" s="329"/>
      <c r="O45" s="329"/>
      <c r="P45" s="329"/>
      <c r="Q45" s="329"/>
      <c r="R45" s="329"/>
      <c r="S45" s="329"/>
      <c r="T45" s="329"/>
      <c r="U45" s="329"/>
      <c r="V45" s="329"/>
      <c r="W45" s="329"/>
    </row>
    <row r="46" spans="1:23" ht="15.75" customHeight="1" x14ac:dyDescent="0.45">
      <c r="A46" s="326"/>
      <c r="B46" s="329"/>
      <c r="C46" s="329"/>
      <c r="D46" s="329"/>
      <c r="E46" s="329"/>
      <c r="F46" s="329"/>
      <c r="G46" s="329"/>
      <c r="H46" s="329"/>
      <c r="I46" s="329"/>
      <c r="J46" s="329"/>
      <c r="K46" s="329"/>
      <c r="L46" s="329"/>
      <c r="M46" s="329"/>
      <c r="N46" s="329"/>
      <c r="O46" s="329"/>
      <c r="P46" s="329"/>
      <c r="Q46" s="329"/>
      <c r="R46" s="329"/>
      <c r="S46" s="329"/>
      <c r="T46" s="329"/>
      <c r="U46" s="329"/>
      <c r="V46" s="329"/>
      <c r="W46" s="329"/>
    </row>
    <row r="47" spans="1:23" ht="15.75" customHeight="1" x14ac:dyDescent="0.45">
      <c r="A47" s="326"/>
      <c r="B47" s="329"/>
      <c r="C47" s="329"/>
      <c r="D47" s="329"/>
      <c r="E47" s="329"/>
      <c r="F47" s="329"/>
      <c r="G47" s="329"/>
      <c r="H47" s="329"/>
      <c r="I47" s="329"/>
      <c r="J47" s="329"/>
      <c r="K47" s="329"/>
      <c r="L47" s="329"/>
      <c r="M47" s="329"/>
      <c r="N47" s="329"/>
      <c r="O47" s="329"/>
      <c r="P47" s="329"/>
      <c r="Q47" s="329"/>
      <c r="R47" s="329"/>
      <c r="S47" s="329"/>
      <c r="T47" s="329"/>
      <c r="U47" s="329"/>
      <c r="V47" s="329"/>
      <c r="W47" s="329"/>
    </row>
    <row r="48" spans="1:23" ht="15.75" customHeight="1" x14ac:dyDescent="0.45">
      <c r="A48" s="326"/>
      <c r="B48" s="329"/>
      <c r="C48" s="329"/>
      <c r="D48" s="329"/>
      <c r="E48" s="329"/>
      <c r="F48" s="329"/>
      <c r="G48" s="329"/>
      <c r="H48" s="329"/>
      <c r="I48" s="329"/>
      <c r="J48" s="329"/>
      <c r="K48" s="329"/>
      <c r="L48" s="329"/>
      <c r="M48" s="329"/>
      <c r="N48" s="329"/>
      <c r="O48" s="329"/>
      <c r="P48" s="329"/>
      <c r="Q48" s="329"/>
      <c r="R48" s="329"/>
      <c r="S48" s="329"/>
      <c r="T48" s="329"/>
      <c r="U48" s="329"/>
      <c r="V48" s="329"/>
      <c r="W48" s="329"/>
    </row>
    <row r="49" spans="1:23" ht="15.75" customHeight="1" x14ac:dyDescent="0.45">
      <c r="A49" s="326"/>
      <c r="B49" s="329"/>
      <c r="C49" s="329"/>
      <c r="D49" s="329"/>
      <c r="E49" s="329"/>
      <c r="F49" s="329"/>
      <c r="G49" s="329"/>
      <c r="H49" s="329"/>
      <c r="I49" s="329"/>
      <c r="J49" s="329"/>
      <c r="K49" s="329"/>
      <c r="L49" s="329"/>
      <c r="M49" s="329"/>
      <c r="N49" s="329"/>
      <c r="O49" s="329"/>
      <c r="P49" s="329"/>
      <c r="Q49" s="329"/>
      <c r="R49" s="329"/>
      <c r="S49" s="329"/>
      <c r="T49" s="329"/>
      <c r="U49" s="329"/>
      <c r="V49" s="329"/>
      <c r="W49" s="329"/>
    </row>
    <row r="50" spans="1:23" ht="15.75" customHeight="1" x14ac:dyDescent="0.45">
      <c r="A50" s="326"/>
      <c r="B50" s="329"/>
      <c r="C50" s="329"/>
      <c r="D50" s="329"/>
      <c r="E50" s="329"/>
      <c r="F50" s="329"/>
      <c r="G50" s="329"/>
      <c r="H50" s="329"/>
      <c r="I50" s="329"/>
      <c r="J50" s="329"/>
      <c r="K50" s="329"/>
      <c r="L50" s="329"/>
      <c r="M50" s="329"/>
      <c r="N50" s="329"/>
      <c r="O50" s="329"/>
      <c r="P50" s="329"/>
      <c r="Q50" s="329"/>
      <c r="R50" s="329"/>
      <c r="S50" s="329"/>
      <c r="T50" s="329"/>
      <c r="U50" s="329"/>
      <c r="V50" s="329"/>
      <c r="W50" s="329"/>
    </row>
    <row r="51" spans="1:23" ht="15.75" customHeight="1" x14ac:dyDescent="0.45">
      <c r="A51" s="326"/>
      <c r="B51" s="329"/>
      <c r="C51" s="329"/>
      <c r="D51" s="329"/>
      <c r="E51" s="329"/>
      <c r="F51" s="329"/>
      <c r="G51" s="329"/>
      <c r="H51" s="329"/>
      <c r="I51" s="329"/>
      <c r="J51" s="329"/>
      <c r="K51" s="329"/>
      <c r="L51" s="329"/>
      <c r="M51" s="329"/>
      <c r="N51" s="329"/>
      <c r="O51" s="329"/>
      <c r="P51" s="329"/>
      <c r="Q51" s="329"/>
      <c r="R51" s="329"/>
      <c r="S51" s="329"/>
      <c r="T51" s="329"/>
      <c r="U51" s="329"/>
      <c r="V51" s="329"/>
      <c r="W51" s="329"/>
    </row>
    <row r="52" spans="1:23" ht="15.75" customHeight="1" x14ac:dyDescent="0.45">
      <c r="A52" s="326"/>
      <c r="B52" s="329"/>
      <c r="C52" s="329"/>
      <c r="D52" s="329"/>
      <c r="E52" s="329"/>
      <c r="F52" s="329"/>
      <c r="G52" s="329"/>
      <c r="H52" s="329"/>
      <c r="I52" s="329"/>
      <c r="J52" s="329"/>
      <c r="K52" s="329"/>
      <c r="L52" s="329"/>
      <c r="M52" s="329"/>
      <c r="N52" s="329"/>
      <c r="O52" s="329"/>
      <c r="P52" s="329"/>
      <c r="Q52" s="329"/>
      <c r="R52" s="329"/>
      <c r="S52" s="329"/>
      <c r="T52" s="329"/>
      <c r="U52" s="329"/>
      <c r="V52" s="329"/>
      <c r="W52" s="329"/>
    </row>
    <row r="53" spans="1:23" ht="15.75" customHeight="1" x14ac:dyDescent="0.45">
      <c r="A53" s="326"/>
      <c r="B53" s="329"/>
      <c r="C53" s="329"/>
      <c r="D53" s="329"/>
      <c r="E53" s="329"/>
      <c r="F53" s="329"/>
      <c r="G53" s="329"/>
      <c r="H53" s="329"/>
      <c r="I53" s="329"/>
      <c r="J53" s="329"/>
      <c r="K53" s="329"/>
      <c r="L53" s="329"/>
      <c r="M53" s="329"/>
      <c r="N53" s="329"/>
      <c r="O53" s="329"/>
      <c r="P53" s="329"/>
      <c r="Q53" s="329"/>
      <c r="R53" s="329"/>
      <c r="S53" s="329"/>
      <c r="T53" s="329"/>
      <c r="U53" s="329"/>
      <c r="V53" s="329"/>
      <c r="W53" s="329"/>
    </row>
    <row r="54" spans="1:23" ht="15.75" customHeight="1" x14ac:dyDescent="0.45">
      <c r="A54" s="326"/>
      <c r="B54" s="329"/>
      <c r="C54" s="329"/>
      <c r="D54" s="329"/>
      <c r="E54" s="329"/>
      <c r="F54" s="329"/>
      <c r="G54" s="329"/>
      <c r="H54" s="329"/>
      <c r="I54" s="329"/>
      <c r="J54" s="329"/>
      <c r="K54" s="329"/>
      <c r="L54" s="329"/>
      <c r="M54" s="329"/>
      <c r="N54" s="329"/>
      <c r="O54" s="329"/>
      <c r="P54" s="329"/>
      <c r="Q54" s="329"/>
      <c r="R54" s="329"/>
      <c r="S54" s="329"/>
      <c r="T54" s="329"/>
      <c r="U54" s="329"/>
      <c r="V54" s="329"/>
      <c r="W54" s="329"/>
    </row>
    <row r="55" spans="1:23" ht="15.75" customHeight="1" x14ac:dyDescent="0.45">
      <c r="A55" s="326"/>
      <c r="B55" s="329"/>
      <c r="C55" s="329"/>
      <c r="D55" s="329"/>
      <c r="E55" s="329"/>
      <c r="F55" s="329"/>
      <c r="G55" s="329"/>
      <c r="H55" s="329"/>
      <c r="I55" s="329"/>
      <c r="J55" s="329"/>
      <c r="K55" s="329"/>
      <c r="L55" s="329"/>
      <c r="M55" s="329"/>
      <c r="N55" s="329"/>
      <c r="O55" s="329"/>
      <c r="P55" s="329"/>
      <c r="Q55" s="329"/>
      <c r="R55" s="329"/>
      <c r="S55" s="329"/>
      <c r="T55" s="329"/>
      <c r="U55" s="329"/>
      <c r="V55" s="329"/>
      <c r="W55" s="329"/>
    </row>
    <row r="56" spans="1:23" ht="15.75" customHeight="1" x14ac:dyDescent="0.45">
      <c r="A56" s="326"/>
      <c r="B56" s="329"/>
      <c r="C56" s="329"/>
      <c r="D56" s="329"/>
      <c r="E56" s="329"/>
      <c r="F56" s="329"/>
      <c r="G56" s="329"/>
      <c r="H56" s="329"/>
      <c r="I56" s="329"/>
      <c r="J56" s="329"/>
      <c r="K56" s="329"/>
      <c r="L56" s="329"/>
      <c r="M56" s="329"/>
      <c r="N56" s="329"/>
      <c r="O56" s="329"/>
      <c r="P56" s="329"/>
      <c r="Q56" s="329"/>
      <c r="R56" s="329"/>
      <c r="S56" s="329"/>
      <c r="T56" s="329"/>
      <c r="U56" s="329"/>
      <c r="V56" s="329"/>
      <c r="W56" s="329"/>
    </row>
    <row r="57" spans="1:23" ht="15.75" customHeight="1" x14ac:dyDescent="0.45">
      <c r="A57" s="326"/>
      <c r="B57" s="329"/>
      <c r="C57" s="329"/>
      <c r="D57" s="329"/>
      <c r="E57" s="329"/>
      <c r="F57" s="329"/>
      <c r="G57" s="329"/>
      <c r="H57" s="329"/>
      <c r="I57" s="329"/>
      <c r="J57" s="329"/>
      <c r="K57" s="329"/>
      <c r="L57" s="329"/>
      <c r="M57" s="329"/>
      <c r="N57" s="329"/>
      <c r="O57" s="329"/>
      <c r="P57" s="329"/>
      <c r="Q57" s="329"/>
      <c r="R57" s="329"/>
      <c r="S57" s="329"/>
      <c r="T57" s="329"/>
      <c r="U57" s="329"/>
      <c r="V57" s="329"/>
      <c r="W57" s="329"/>
    </row>
    <row r="58" spans="1:23" ht="15.75" customHeight="1" x14ac:dyDescent="0.45">
      <c r="A58" s="326"/>
      <c r="B58" s="329"/>
      <c r="C58" s="329"/>
      <c r="D58" s="329"/>
      <c r="E58" s="329"/>
      <c r="F58" s="329"/>
      <c r="G58" s="329"/>
      <c r="H58" s="329"/>
      <c r="I58" s="329"/>
      <c r="J58" s="329"/>
      <c r="K58" s="329"/>
      <c r="L58" s="329"/>
      <c r="M58" s="329"/>
      <c r="N58" s="329"/>
      <c r="O58" s="329"/>
      <c r="P58" s="329"/>
      <c r="Q58" s="329"/>
      <c r="R58" s="329"/>
      <c r="S58" s="329"/>
      <c r="T58" s="329"/>
      <c r="U58" s="329"/>
      <c r="V58" s="329"/>
      <c r="W58" s="329"/>
    </row>
    <row r="59" spans="1:23" ht="15.75" customHeight="1" x14ac:dyDescent="0.45">
      <c r="A59" s="326"/>
      <c r="B59" s="329"/>
      <c r="C59" s="329"/>
      <c r="D59" s="329"/>
      <c r="E59" s="329"/>
      <c r="F59" s="329"/>
      <c r="G59" s="329"/>
      <c r="H59" s="329"/>
      <c r="I59" s="329"/>
      <c r="J59" s="329"/>
      <c r="K59" s="329"/>
      <c r="L59" s="329"/>
      <c r="M59" s="329"/>
      <c r="N59" s="329"/>
      <c r="O59" s="329"/>
      <c r="P59" s="329"/>
      <c r="Q59" s="329"/>
      <c r="R59" s="329"/>
      <c r="S59" s="329"/>
      <c r="T59" s="329"/>
      <c r="U59" s="329"/>
      <c r="V59" s="329"/>
      <c r="W59" s="329"/>
    </row>
    <row r="60" spans="1:23" ht="15.75" customHeight="1" x14ac:dyDescent="0.45">
      <c r="A60" s="326"/>
      <c r="B60" s="329"/>
      <c r="C60" s="329"/>
      <c r="D60" s="329"/>
      <c r="E60" s="329"/>
      <c r="F60" s="329"/>
      <c r="G60" s="329"/>
      <c r="H60" s="329"/>
      <c r="I60" s="329"/>
      <c r="J60" s="329"/>
      <c r="K60" s="329"/>
      <c r="L60" s="329"/>
      <c r="M60" s="329"/>
      <c r="N60" s="329"/>
      <c r="O60" s="329"/>
      <c r="P60" s="329"/>
      <c r="Q60" s="329"/>
      <c r="R60" s="329"/>
      <c r="S60" s="329"/>
      <c r="T60" s="329"/>
      <c r="U60" s="329"/>
      <c r="V60" s="329"/>
      <c r="W60" s="329"/>
    </row>
    <row r="61" spans="1:23" ht="15.75" customHeight="1" x14ac:dyDescent="0.45">
      <c r="A61" s="326"/>
      <c r="B61" s="329"/>
      <c r="C61" s="329"/>
      <c r="D61" s="329"/>
      <c r="E61" s="329"/>
      <c r="F61" s="329"/>
      <c r="G61" s="329"/>
      <c r="H61" s="329"/>
      <c r="I61" s="329"/>
      <c r="J61" s="329"/>
      <c r="K61" s="329"/>
      <c r="L61" s="329"/>
      <c r="M61" s="329"/>
      <c r="N61" s="329"/>
      <c r="O61" s="329"/>
      <c r="P61" s="329"/>
      <c r="Q61" s="329"/>
      <c r="R61" s="329"/>
      <c r="S61" s="329"/>
      <c r="T61" s="329"/>
      <c r="U61" s="329"/>
      <c r="V61" s="329"/>
      <c r="W61" s="329"/>
    </row>
    <row r="62" spans="1:23" ht="15.75" customHeight="1" x14ac:dyDescent="0.45">
      <c r="A62" s="326"/>
      <c r="B62" s="329"/>
      <c r="C62" s="329"/>
      <c r="D62" s="329"/>
      <c r="E62" s="329"/>
      <c r="F62" s="329"/>
      <c r="G62" s="329"/>
      <c r="H62" s="329"/>
      <c r="I62" s="329"/>
      <c r="J62" s="329"/>
      <c r="K62" s="329"/>
      <c r="L62" s="329"/>
      <c r="M62" s="329"/>
      <c r="N62" s="329"/>
      <c r="O62" s="329"/>
      <c r="P62" s="329"/>
      <c r="Q62" s="329"/>
      <c r="R62" s="329"/>
      <c r="S62" s="329"/>
      <c r="T62" s="329"/>
      <c r="U62" s="329"/>
      <c r="V62" s="329"/>
      <c r="W62" s="329"/>
    </row>
    <row r="63" spans="1:23" ht="15.75" customHeight="1" x14ac:dyDescent="0.45">
      <c r="A63" s="326"/>
      <c r="B63" s="329"/>
      <c r="C63" s="329"/>
      <c r="D63" s="329"/>
      <c r="E63" s="329"/>
      <c r="F63" s="329"/>
      <c r="G63" s="329"/>
      <c r="H63" s="329"/>
      <c r="I63" s="329"/>
      <c r="J63" s="329"/>
      <c r="K63" s="329"/>
      <c r="L63" s="329"/>
      <c r="M63" s="329"/>
      <c r="N63" s="329"/>
      <c r="O63" s="329"/>
      <c r="P63" s="329"/>
      <c r="Q63" s="329"/>
      <c r="R63" s="329"/>
      <c r="S63" s="329"/>
      <c r="T63" s="329"/>
      <c r="U63" s="329"/>
      <c r="V63" s="329"/>
      <c r="W63" s="329"/>
    </row>
    <row r="64" spans="1:23" ht="15.75" customHeight="1" x14ac:dyDescent="0.45">
      <c r="A64" s="326"/>
      <c r="B64" s="329"/>
      <c r="C64" s="329"/>
      <c r="D64" s="329"/>
      <c r="E64" s="329"/>
      <c r="F64" s="329"/>
      <c r="G64" s="329"/>
      <c r="H64" s="329"/>
      <c r="I64" s="329"/>
      <c r="J64" s="329"/>
      <c r="K64" s="329"/>
      <c r="L64" s="329"/>
      <c r="M64" s="329"/>
      <c r="N64" s="329"/>
      <c r="O64" s="329"/>
      <c r="P64" s="329"/>
      <c r="Q64" s="329"/>
      <c r="R64" s="329"/>
      <c r="S64" s="329"/>
      <c r="T64" s="329"/>
      <c r="U64" s="329"/>
      <c r="V64" s="329"/>
      <c r="W64" s="329"/>
    </row>
    <row r="65" spans="1:23" ht="15.75" customHeight="1" x14ac:dyDescent="0.45">
      <c r="A65" s="326"/>
      <c r="B65" s="329"/>
      <c r="C65" s="329"/>
      <c r="D65" s="329"/>
      <c r="E65" s="329"/>
      <c r="F65" s="329"/>
      <c r="G65" s="329"/>
      <c r="H65" s="329"/>
      <c r="I65" s="329"/>
      <c r="J65" s="329"/>
      <c r="K65" s="329"/>
      <c r="L65" s="329"/>
      <c r="M65" s="329"/>
      <c r="N65" s="329"/>
      <c r="O65" s="329"/>
      <c r="P65" s="329"/>
      <c r="Q65" s="329"/>
      <c r="R65" s="329"/>
      <c r="S65" s="329"/>
      <c r="T65" s="329"/>
      <c r="U65" s="329"/>
      <c r="V65" s="329"/>
      <c r="W65" s="329"/>
    </row>
    <row r="66" spans="1:23" ht="15.75" customHeight="1" x14ac:dyDescent="0.45">
      <c r="A66" s="326"/>
      <c r="B66" s="329"/>
      <c r="C66" s="329"/>
      <c r="D66" s="329"/>
      <c r="E66" s="329"/>
      <c r="F66" s="329"/>
      <c r="G66" s="329"/>
      <c r="H66" s="329"/>
      <c r="I66" s="329"/>
      <c r="J66" s="329"/>
      <c r="K66" s="329"/>
      <c r="L66" s="329"/>
      <c r="M66" s="329"/>
      <c r="N66" s="329"/>
      <c r="O66" s="329"/>
      <c r="P66" s="329"/>
      <c r="Q66" s="329"/>
      <c r="R66" s="329"/>
      <c r="S66" s="329"/>
      <c r="T66" s="329"/>
      <c r="U66" s="329"/>
      <c r="V66" s="329"/>
      <c r="W66" s="329"/>
    </row>
    <row r="67" spans="1:23" ht="15.75" customHeight="1" x14ac:dyDescent="0.45">
      <c r="A67" s="326"/>
      <c r="B67" s="329"/>
      <c r="C67" s="329"/>
      <c r="D67" s="329"/>
      <c r="E67" s="329"/>
      <c r="F67" s="329"/>
      <c r="G67" s="329"/>
      <c r="H67" s="329"/>
      <c r="I67" s="329"/>
      <c r="J67" s="329"/>
      <c r="K67" s="329"/>
      <c r="L67" s="329"/>
      <c r="M67" s="329"/>
      <c r="N67" s="329"/>
      <c r="O67" s="329"/>
      <c r="P67" s="329"/>
      <c r="Q67" s="329"/>
      <c r="R67" s="329"/>
      <c r="S67" s="329"/>
      <c r="T67" s="329"/>
      <c r="U67" s="329"/>
      <c r="V67" s="329"/>
      <c r="W67" s="329"/>
    </row>
    <row r="68" spans="1:23" ht="15.75" customHeight="1" x14ac:dyDescent="0.45">
      <c r="A68" s="326"/>
      <c r="B68" s="329"/>
      <c r="C68" s="329"/>
      <c r="D68" s="329"/>
      <c r="E68" s="329"/>
      <c r="F68" s="329"/>
      <c r="G68" s="329"/>
      <c r="H68" s="329"/>
      <c r="I68" s="329"/>
      <c r="J68" s="329"/>
      <c r="K68" s="329"/>
      <c r="L68" s="329"/>
      <c r="M68" s="329"/>
      <c r="N68" s="329"/>
      <c r="O68" s="329"/>
      <c r="P68" s="329"/>
      <c r="Q68" s="329"/>
      <c r="R68" s="329"/>
      <c r="S68" s="329"/>
      <c r="T68" s="329"/>
      <c r="U68" s="329"/>
      <c r="V68" s="329"/>
      <c r="W68" s="329"/>
    </row>
    <row r="69" spans="1:23" ht="15.75" customHeight="1" x14ac:dyDescent="0.45">
      <c r="A69" s="326"/>
      <c r="B69" s="329"/>
      <c r="C69" s="329"/>
      <c r="D69" s="329"/>
      <c r="E69" s="329"/>
      <c r="F69" s="329"/>
      <c r="G69" s="329"/>
      <c r="H69" s="329"/>
      <c r="I69" s="329"/>
      <c r="J69" s="329"/>
      <c r="K69" s="329"/>
      <c r="L69" s="329"/>
      <c r="M69" s="329"/>
      <c r="N69" s="329"/>
      <c r="O69" s="329"/>
      <c r="P69" s="329"/>
      <c r="Q69" s="329"/>
      <c r="R69" s="329"/>
      <c r="S69" s="329"/>
      <c r="T69" s="329"/>
      <c r="U69" s="329"/>
      <c r="V69" s="329"/>
      <c r="W69" s="329"/>
    </row>
    <row r="70" spans="1:23" ht="15.75" customHeight="1" x14ac:dyDescent="0.45">
      <c r="A70" s="326"/>
      <c r="B70" s="329"/>
      <c r="C70" s="329"/>
      <c r="D70" s="329"/>
      <c r="E70" s="329"/>
      <c r="F70" s="329"/>
      <c r="G70" s="329"/>
      <c r="H70" s="329"/>
      <c r="I70" s="329"/>
      <c r="J70" s="329"/>
      <c r="K70" s="329"/>
      <c r="L70" s="329"/>
      <c r="M70" s="329"/>
      <c r="N70" s="329"/>
      <c r="O70" s="329"/>
      <c r="P70" s="329"/>
      <c r="Q70" s="329"/>
      <c r="R70" s="329"/>
      <c r="S70" s="329"/>
      <c r="T70" s="329"/>
      <c r="U70" s="329"/>
      <c r="V70" s="329"/>
      <c r="W70" s="329"/>
    </row>
    <row r="71" spans="1:23" ht="15.75" customHeight="1" x14ac:dyDescent="0.45">
      <c r="A71" s="326"/>
      <c r="B71" s="329"/>
      <c r="C71" s="329"/>
      <c r="D71" s="329"/>
      <c r="E71" s="329"/>
      <c r="F71" s="329"/>
      <c r="G71" s="329"/>
      <c r="H71" s="329"/>
      <c r="I71" s="329"/>
      <c r="J71" s="329"/>
      <c r="K71" s="329"/>
      <c r="L71" s="329"/>
      <c r="M71" s="329"/>
      <c r="N71" s="329"/>
      <c r="O71" s="329"/>
      <c r="P71" s="329"/>
      <c r="Q71" s="329"/>
      <c r="R71" s="329"/>
      <c r="S71" s="329"/>
      <c r="T71" s="329"/>
      <c r="U71" s="329"/>
      <c r="V71" s="329"/>
      <c r="W71" s="329"/>
    </row>
    <row r="72" spans="1:23" ht="15.75" customHeight="1" x14ac:dyDescent="0.45">
      <c r="A72" s="326"/>
      <c r="B72" s="329"/>
      <c r="C72" s="329"/>
      <c r="D72" s="329"/>
      <c r="E72" s="329"/>
      <c r="F72" s="329"/>
      <c r="G72" s="329"/>
      <c r="H72" s="329"/>
      <c r="I72" s="329"/>
      <c r="J72" s="329"/>
      <c r="K72" s="329"/>
      <c r="L72" s="329"/>
      <c r="M72" s="329"/>
      <c r="N72" s="329"/>
      <c r="O72" s="329"/>
      <c r="P72" s="329"/>
      <c r="Q72" s="329"/>
      <c r="R72" s="329"/>
      <c r="S72" s="329"/>
      <c r="T72" s="329"/>
      <c r="U72" s="329"/>
      <c r="V72" s="329"/>
      <c r="W72" s="329"/>
    </row>
    <row r="73" spans="1:23" ht="15.75" customHeight="1" x14ac:dyDescent="0.45">
      <c r="A73" s="326"/>
      <c r="B73" s="329"/>
      <c r="C73" s="329"/>
      <c r="D73" s="329"/>
      <c r="E73" s="329"/>
      <c r="F73" s="329"/>
      <c r="G73" s="329"/>
      <c r="H73" s="329"/>
      <c r="I73" s="329"/>
      <c r="J73" s="329"/>
      <c r="K73" s="329"/>
      <c r="L73" s="329"/>
      <c r="M73" s="329"/>
      <c r="N73" s="329"/>
      <c r="O73" s="329"/>
      <c r="P73" s="329"/>
      <c r="Q73" s="329"/>
      <c r="R73" s="329"/>
      <c r="S73" s="329"/>
      <c r="T73" s="329"/>
      <c r="U73" s="329"/>
      <c r="V73" s="329"/>
      <c r="W73" s="329"/>
    </row>
    <row r="74" spans="1:23" ht="15.75" customHeight="1" x14ac:dyDescent="0.45">
      <c r="A74" s="326"/>
      <c r="B74" s="329"/>
      <c r="C74" s="329"/>
      <c r="D74" s="329"/>
      <c r="E74" s="329"/>
      <c r="F74" s="329"/>
      <c r="G74" s="329"/>
      <c r="H74" s="329"/>
      <c r="I74" s="329"/>
      <c r="J74" s="329"/>
      <c r="K74" s="329"/>
      <c r="L74" s="329"/>
      <c r="M74" s="329"/>
      <c r="N74" s="329"/>
      <c r="O74" s="329"/>
      <c r="P74" s="329"/>
      <c r="Q74" s="329"/>
      <c r="R74" s="329"/>
      <c r="S74" s="329"/>
      <c r="T74" s="329"/>
      <c r="U74" s="329"/>
      <c r="V74" s="329"/>
      <c r="W74" s="329"/>
    </row>
    <row r="75" spans="1:23" ht="15.75" customHeight="1" x14ac:dyDescent="0.45">
      <c r="A75" s="326"/>
      <c r="B75" s="329"/>
      <c r="C75" s="329"/>
      <c r="D75" s="329"/>
      <c r="E75" s="329"/>
      <c r="F75" s="329"/>
      <c r="G75" s="329"/>
      <c r="H75" s="329"/>
      <c r="I75" s="329"/>
      <c r="J75" s="329"/>
      <c r="K75" s="329"/>
      <c r="L75" s="329"/>
      <c r="M75" s="329"/>
      <c r="N75" s="329"/>
      <c r="O75" s="329"/>
      <c r="P75" s="329"/>
      <c r="Q75" s="329"/>
      <c r="R75" s="329"/>
      <c r="S75" s="329"/>
      <c r="T75" s="329"/>
      <c r="U75" s="329"/>
      <c r="V75" s="329"/>
      <c r="W75" s="329"/>
    </row>
    <row r="76" spans="1:23" ht="15.75" customHeight="1" x14ac:dyDescent="0.45">
      <c r="A76" s="326"/>
      <c r="B76" s="329"/>
      <c r="C76" s="329"/>
      <c r="D76" s="329"/>
      <c r="E76" s="329"/>
      <c r="F76" s="329"/>
      <c r="G76" s="329"/>
      <c r="H76" s="329"/>
      <c r="I76" s="329"/>
      <c r="J76" s="329"/>
      <c r="K76" s="329"/>
      <c r="L76" s="329"/>
      <c r="M76" s="329"/>
      <c r="N76" s="329"/>
      <c r="O76" s="329"/>
      <c r="P76" s="329"/>
      <c r="Q76" s="329"/>
      <c r="R76" s="329"/>
      <c r="S76" s="329"/>
      <c r="T76" s="329"/>
      <c r="U76" s="329"/>
      <c r="V76" s="329"/>
      <c r="W76" s="329"/>
    </row>
    <row r="77" spans="1:23" ht="15.75" customHeight="1" x14ac:dyDescent="0.45">
      <c r="A77" s="326"/>
      <c r="B77" s="329"/>
      <c r="C77" s="329"/>
      <c r="D77" s="329"/>
      <c r="E77" s="329"/>
      <c r="F77" s="329"/>
      <c r="G77" s="329"/>
      <c r="H77" s="329"/>
      <c r="I77" s="329"/>
      <c r="J77" s="329"/>
      <c r="K77" s="329"/>
      <c r="L77" s="329"/>
      <c r="M77" s="329"/>
      <c r="N77" s="329"/>
      <c r="O77" s="329"/>
      <c r="P77" s="329"/>
      <c r="Q77" s="329"/>
      <c r="R77" s="329"/>
      <c r="S77" s="329"/>
      <c r="T77" s="329"/>
      <c r="U77" s="329"/>
      <c r="V77" s="329"/>
      <c r="W77" s="329"/>
    </row>
    <row r="78" spans="1:23" ht="15.75" customHeight="1" x14ac:dyDescent="0.45">
      <c r="A78" s="326"/>
      <c r="B78" s="329"/>
      <c r="C78" s="329"/>
      <c r="D78" s="329"/>
      <c r="E78" s="329"/>
      <c r="F78" s="329"/>
      <c r="G78" s="329"/>
      <c r="H78" s="329"/>
      <c r="I78" s="329"/>
      <c r="J78" s="329"/>
      <c r="K78" s="329"/>
      <c r="L78" s="329"/>
      <c r="M78" s="329"/>
      <c r="N78" s="329"/>
      <c r="O78" s="329"/>
      <c r="P78" s="329"/>
      <c r="Q78" s="329"/>
      <c r="R78" s="329"/>
      <c r="S78" s="329"/>
      <c r="T78" s="329"/>
      <c r="U78" s="329"/>
      <c r="V78" s="329"/>
      <c r="W78" s="329"/>
    </row>
    <row r="79" spans="1:23" ht="15.75" customHeight="1" x14ac:dyDescent="0.45">
      <c r="A79" s="326"/>
      <c r="B79" s="329"/>
      <c r="C79" s="329"/>
      <c r="D79" s="329"/>
      <c r="E79" s="329"/>
      <c r="F79" s="329"/>
      <c r="G79" s="329"/>
      <c r="H79" s="329"/>
      <c r="I79" s="329"/>
      <c r="J79" s="329"/>
      <c r="K79" s="329"/>
      <c r="L79" s="329"/>
      <c r="M79" s="329"/>
      <c r="N79" s="329"/>
      <c r="O79" s="329"/>
      <c r="P79" s="329"/>
      <c r="Q79" s="329"/>
      <c r="R79" s="329"/>
      <c r="S79" s="329"/>
      <c r="T79" s="329"/>
      <c r="U79" s="329"/>
      <c r="V79" s="329"/>
      <c r="W79" s="329"/>
    </row>
    <row r="80" spans="1:23" ht="15.75" customHeight="1" x14ac:dyDescent="0.45">
      <c r="A80" s="326"/>
      <c r="B80" s="329"/>
      <c r="C80" s="329"/>
      <c r="D80" s="329"/>
      <c r="E80" s="329"/>
      <c r="F80" s="329"/>
      <c r="G80" s="329"/>
      <c r="H80" s="329"/>
      <c r="I80" s="329"/>
      <c r="J80" s="329"/>
      <c r="K80" s="329"/>
      <c r="L80" s="329"/>
      <c r="M80" s="329"/>
      <c r="N80" s="329"/>
      <c r="O80" s="329"/>
      <c r="P80" s="329"/>
      <c r="Q80" s="329"/>
      <c r="R80" s="329"/>
      <c r="S80" s="329"/>
      <c r="T80" s="329"/>
      <c r="U80" s="329"/>
      <c r="V80" s="329"/>
      <c r="W80" s="329"/>
    </row>
    <row r="81" spans="1:23" ht="15.75" customHeight="1" x14ac:dyDescent="0.45">
      <c r="A81" s="326"/>
      <c r="B81" s="329"/>
      <c r="C81" s="329"/>
      <c r="D81" s="329"/>
      <c r="E81" s="329"/>
      <c r="F81" s="329"/>
      <c r="G81" s="329"/>
      <c r="H81" s="329"/>
      <c r="I81" s="329"/>
      <c r="J81" s="329"/>
      <c r="K81" s="329"/>
      <c r="L81" s="329"/>
      <c r="M81" s="329"/>
      <c r="N81" s="329"/>
      <c r="O81" s="329"/>
      <c r="P81" s="329"/>
      <c r="Q81" s="329"/>
      <c r="R81" s="329"/>
      <c r="S81" s="329"/>
      <c r="T81" s="329"/>
      <c r="U81" s="329"/>
      <c r="V81" s="329"/>
      <c r="W81" s="329"/>
    </row>
    <row r="82" spans="1:23" ht="15.75" customHeight="1" x14ac:dyDescent="0.45">
      <c r="A82" s="326"/>
      <c r="B82" s="329"/>
      <c r="C82" s="329"/>
      <c r="D82" s="329"/>
      <c r="E82" s="329"/>
      <c r="F82" s="329"/>
      <c r="G82" s="329"/>
      <c r="H82" s="329"/>
      <c r="I82" s="329"/>
      <c r="J82" s="329"/>
      <c r="K82" s="329"/>
      <c r="L82" s="329"/>
      <c r="M82" s="329"/>
      <c r="N82" s="329"/>
      <c r="O82" s="329"/>
      <c r="P82" s="329"/>
      <c r="Q82" s="329"/>
      <c r="R82" s="329"/>
      <c r="S82" s="329"/>
      <c r="T82" s="329"/>
      <c r="U82" s="329"/>
      <c r="V82" s="329"/>
      <c r="W82" s="329"/>
    </row>
    <row r="83" spans="1:23" ht="15.75" customHeight="1" x14ac:dyDescent="0.45">
      <c r="A83" s="326"/>
      <c r="B83" s="329"/>
      <c r="C83" s="329"/>
      <c r="D83" s="329"/>
      <c r="E83" s="329"/>
      <c r="F83" s="329"/>
      <c r="G83" s="329"/>
      <c r="H83" s="329"/>
      <c r="I83" s="329"/>
      <c r="J83" s="329"/>
      <c r="K83" s="329"/>
      <c r="L83" s="329"/>
      <c r="M83" s="329"/>
      <c r="N83" s="329"/>
      <c r="O83" s="329"/>
      <c r="P83" s="329"/>
      <c r="Q83" s="329"/>
      <c r="R83" s="329"/>
      <c r="S83" s="329"/>
      <c r="T83" s="329"/>
      <c r="U83" s="329"/>
      <c r="V83" s="329"/>
      <c r="W83" s="329"/>
    </row>
    <row r="84" spans="1:23" ht="15.75" customHeight="1" x14ac:dyDescent="0.45">
      <c r="A84" s="326"/>
      <c r="B84" s="329"/>
      <c r="C84" s="329"/>
      <c r="D84" s="329"/>
      <c r="E84" s="329"/>
      <c r="F84" s="329"/>
      <c r="G84" s="329"/>
      <c r="H84" s="329"/>
      <c r="I84" s="329"/>
      <c r="J84" s="329"/>
      <c r="K84" s="329"/>
      <c r="L84" s="329"/>
      <c r="M84" s="329"/>
      <c r="N84" s="329"/>
      <c r="O84" s="329"/>
      <c r="P84" s="329"/>
      <c r="Q84" s="329"/>
      <c r="R84" s="329"/>
      <c r="S84" s="329"/>
      <c r="T84" s="329"/>
      <c r="U84" s="329"/>
      <c r="V84" s="329"/>
      <c r="W84" s="329"/>
    </row>
    <row r="85" spans="1:23" ht="15.75" customHeight="1" x14ac:dyDescent="0.45">
      <c r="A85" s="326"/>
      <c r="B85" s="329"/>
      <c r="C85" s="329"/>
      <c r="D85" s="329"/>
      <c r="E85" s="329"/>
      <c r="F85" s="329"/>
      <c r="G85" s="329"/>
      <c r="H85" s="329"/>
      <c r="I85" s="329"/>
      <c r="J85" s="329"/>
      <c r="K85" s="329"/>
      <c r="L85" s="329"/>
      <c r="M85" s="329"/>
      <c r="N85" s="329"/>
      <c r="O85" s="329"/>
      <c r="P85" s="329"/>
      <c r="Q85" s="329"/>
      <c r="R85" s="329"/>
      <c r="S85" s="329"/>
      <c r="T85" s="329"/>
      <c r="U85" s="329"/>
      <c r="V85" s="329"/>
      <c r="W85" s="329"/>
    </row>
    <row r="86" spans="1:23" ht="15.75" customHeight="1" x14ac:dyDescent="0.45">
      <c r="A86" s="326"/>
      <c r="B86" s="329"/>
      <c r="C86" s="329"/>
      <c r="D86" s="329"/>
      <c r="E86" s="329"/>
      <c r="F86" s="329"/>
      <c r="G86" s="329"/>
      <c r="H86" s="329"/>
      <c r="I86" s="329"/>
      <c r="J86" s="329"/>
      <c r="K86" s="329"/>
      <c r="L86" s="329"/>
      <c r="M86" s="329"/>
      <c r="N86" s="329"/>
      <c r="O86" s="329"/>
      <c r="P86" s="329"/>
      <c r="Q86" s="329"/>
      <c r="R86" s="329"/>
      <c r="S86" s="329"/>
      <c r="T86" s="329"/>
      <c r="U86" s="329"/>
      <c r="V86" s="329"/>
      <c r="W86" s="329"/>
    </row>
    <row r="87" spans="1:23" ht="15.75" customHeight="1" x14ac:dyDescent="0.45">
      <c r="A87" s="326"/>
      <c r="B87" s="329"/>
      <c r="C87" s="329"/>
      <c r="D87" s="329"/>
      <c r="E87" s="329"/>
      <c r="F87" s="329"/>
      <c r="G87" s="329"/>
      <c r="H87" s="329"/>
      <c r="I87" s="329"/>
      <c r="J87" s="329"/>
      <c r="K87" s="329"/>
      <c r="L87" s="329"/>
      <c r="M87" s="329"/>
      <c r="N87" s="329"/>
      <c r="O87" s="329"/>
      <c r="P87" s="329"/>
      <c r="Q87" s="329"/>
      <c r="R87" s="329"/>
      <c r="S87" s="329"/>
      <c r="T87" s="329"/>
      <c r="U87" s="329"/>
      <c r="V87" s="329"/>
      <c r="W87" s="329"/>
    </row>
    <row r="88" spans="1:23" ht="15.75" customHeight="1" x14ac:dyDescent="0.45">
      <c r="A88" s="326"/>
      <c r="B88" s="329"/>
      <c r="C88" s="329"/>
      <c r="D88" s="329"/>
      <c r="E88" s="329"/>
      <c r="F88" s="329"/>
      <c r="G88" s="329"/>
      <c r="H88" s="329"/>
      <c r="I88" s="329"/>
      <c r="J88" s="329"/>
      <c r="K88" s="329"/>
      <c r="L88" s="329"/>
      <c r="M88" s="329"/>
      <c r="N88" s="329"/>
      <c r="O88" s="329"/>
      <c r="P88" s="329"/>
      <c r="Q88" s="329"/>
      <c r="R88" s="329"/>
      <c r="S88" s="329"/>
      <c r="T88" s="329"/>
      <c r="U88" s="329"/>
      <c r="V88" s="329"/>
      <c r="W88" s="329"/>
    </row>
    <row r="89" spans="1:23" ht="15.75" customHeight="1" x14ac:dyDescent="0.45">
      <c r="A89" s="326"/>
      <c r="B89" s="329"/>
      <c r="C89" s="329"/>
      <c r="D89" s="329"/>
      <c r="E89" s="329"/>
      <c r="F89" s="329"/>
      <c r="G89" s="329"/>
      <c r="H89" s="329"/>
      <c r="I89" s="329"/>
      <c r="J89" s="329"/>
      <c r="K89" s="329"/>
      <c r="L89" s="329"/>
      <c r="M89" s="329"/>
      <c r="N89" s="329"/>
      <c r="O89" s="329"/>
      <c r="P89" s="329"/>
      <c r="Q89" s="329"/>
      <c r="R89" s="329"/>
      <c r="S89" s="329"/>
      <c r="T89" s="329"/>
      <c r="U89" s="329"/>
      <c r="V89" s="329"/>
      <c r="W89" s="329"/>
    </row>
    <row r="90" spans="1:23" ht="15.75" customHeight="1" x14ac:dyDescent="0.45">
      <c r="A90" s="326"/>
      <c r="B90" s="329"/>
      <c r="C90" s="329"/>
      <c r="D90" s="329"/>
      <c r="E90" s="329"/>
      <c r="F90" s="329"/>
      <c r="G90" s="329"/>
      <c r="H90" s="329"/>
      <c r="I90" s="329"/>
      <c r="J90" s="329"/>
      <c r="K90" s="329"/>
      <c r="L90" s="329"/>
      <c r="M90" s="329"/>
      <c r="N90" s="329"/>
      <c r="O90" s="329"/>
      <c r="P90" s="329"/>
      <c r="Q90" s="329"/>
      <c r="R90" s="329"/>
      <c r="S90" s="329"/>
      <c r="T90" s="329"/>
      <c r="U90" s="329"/>
      <c r="V90" s="329"/>
      <c r="W90" s="329"/>
    </row>
    <row r="91" spans="1:23" ht="15.75" customHeight="1" x14ac:dyDescent="0.45">
      <c r="A91" s="326"/>
      <c r="B91" s="329"/>
      <c r="C91" s="329"/>
      <c r="D91" s="329"/>
      <c r="E91" s="329"/>
      <c r="F91" s="329"/>
      <c r="G91" s="329"/>
      <c r="H91" s="329"/>
      <c r="I91" s="329"/>
      <c r="J91" s="329"/>
      <c r="K91" s="329"/>
      <c r="L91" s="329"/>
      <c r="M91" s="329"/>
      <c r="N91" s="329"/>
      <c r="O91" s="329"/>
      <c r="P91" s="329"/>
      <c r="Q91" s="329"/>
      <c r="R91" s="329"/>
      <c r="S91" s="329"/>
      <c r="T91" s="329"/>
      <c r="U91" s="329"/>
      <c r="V91" s="329"/>
      <c r="W91" s="329"/>
    </row>
    <row r="92" spans="1:23" ht="15.75" customHeight="1" x14ac:dyDescent="0.45">
      <c r="A92" s="326"/>
      <c r="B92" s="329"/>
      <c r="C92" s="329"/>
      <c r="D92" s="329"/>
      <c r="E92" s="329"/>
      <c r="F92" s="329"/>
      <c r="G92" s="329"/>
      <c r="H92" s="329"/>
      <c r="I92" s="329"/>
      <c r="J92" s="329"/>
      <c r="K92" s="329"/>
      <c r="L92" s="329"/>
      <c r="M92" s="329"/>
      <c r="N92" s="329"/>
      <c r="O92" s="329"/>
      <c r="P92" s="329"/>
      <c r="Q92" s="329"/>
      <c r="R92" s="329"/>
      <c r="S92" s="329"/>
      <c r="T92" s="329"/>
      <c r="U92" s="329"/>
      <c r="V92" s="329"/>
      <c r="W92" s="329"/>
    </row>
    <row r="93" spans="1:23" ht="15.75" customHeight="1" x14ac:dyDescent="0.45">
      <c r="A93" s="326"/>
      <c r="B93" s="329"/>
      <c r="C93" s="329"/>
      <c r="D93" s="329"/>
      <c r="E93" s="329"/>
      <c r="F93" s="329"/>
      <c r="G93" s="329"/>
      <c r="H93" s="329"/>
      <c r="I93" s="329"/>
      <c r="J93" s="329"/>
      <c r="K93" s="329"/>
      <c r="L93" s="329"/>
      <c r="M93" s="329"/>
      <c r="N93" s="329"/>
      <c r="O93" s="329"/>
      <c r="P93" s="329"/>
      <c r="Q93" s="329"/>
      <c r="R93" s="329"/>
      <c r="S93" s="329"/>
      <c r="T93" s="329"/>
      <c r="U93" s="329"/>
      <c r="V93" s="329"/>
      <c r="W93" s="329"/>
    </row>
    <row r="94" spans="1:23" ht="15.75" customHeight="1" x14ac:dyDescent="0.45">
      <c r="A94" s="326"/>
      <c r="B94" s="329"/>
      <c r="C94" s="329"/>
      <c r="D94" s="329"/>
      <c r="E94" s="329"/>
      <c r="F94" s="329"/>
      <c r="G94" s="329"/>
      <c r="H94" s="329"/>
      <c r="I94" s="329"/>
      <c r="J94" s="329"/>
      <c r="K94" s="329"/>
      <c r="L94" s="329"/>
      <c r="M94" s="329"/>
      <c r="N94" s="329"/>
      <c r="O94" s="329"/>
      <c r="P94" s="329"/>
      <c r="Q94" s="329"/>
      <c r="R94" s="329"/>
      <c r="S94" s="329"/>
      <c r="T94" s="329"/>
      <c r="U94" s="329"/>
      <c r="V94" s="329"/>
      <c r="W94" s="329"/>
    </row>
    <row r="95" spans="1:23" ht="15.75" customHeight="1" x14ac:dyDescent="0.45">
      <c r="A95" s="326"/>
      <c r="B95" s="329"/>
      <c r="C95" s="329"/>
      <c r="D95" s="329"/>
      <c r="E95" s="329"/>
      <c r="F95" s="329"/>
      <c r="G95" s="329"/>
      <c r="H95" s="329"/>
      <c r="I95" s="329"/>
      <c r="J95" s="329"/>
      <c r="K95" s="329"/>
      <c r="L95" s="329"/>
      <c r="M95" s="329"/>
      <c r="N95" s="329"/>
      <c r="O95" s="329"/>
      <c r="P95" s="329"/>
      <c r="Q95" s="329"/>
      <c r="R95" s="329"/>
      <c r="S95" s="329"/>
      <c r="T95" s="329"/>
      <c r="U95" s="329"/>
      <c r="V95" s="329"/>
      <c r="W95" s="329"/>
    </row>
    <row r="96" spans="1:23" ht="15.75" customHeight="1" x14ac:dyDescent="0.45">
      <c r="A96" s="326"/>
      <c r="B96" s="329"/>
      <c r="C96" s="329"/>
      <c r="D96" s="329"/>
      <c r="E96" s="329"/>
      <c r="F96" s="329"/>
      <c r="G96" s="329"/>
      <c r="H96" s="329"/>
      <c r="I96" s="329"/>
      <c r="J96" s="329"/>
      <c r="K96" s="329"/>
      <c r="L96" s="329"/>
      <c r="M96" s="329"/>
      <c r="N96" s="329"/>
      <c r="O96" s="329"/>
      <c r="P96" s="329"/>
      <c r="Q96" s="329"/>
      <c r="R96" s="329"/>
      <c r="S96" s="329"/>
      <c r="T96" s="329"/>
      <c r="U96" s="329"/>
      <c r="V96" s="329"/>
      <c r="W96" s="329"/>
    </row>
    <row r="97" spans="1:23" ht="15.75" customHeight="1" x14ac:dyDescent="0.45">
      <c r="A97" s="326"/>
      <c r="B97" s="329"/>
      <c r="C97" s="329"/>
      <c r="D97" s="329"/>
      <c r="E97" s="329"/>
      <c r="F97" s="329"/>
      <c r="G97" s="329"/>
      <c r="H97" s="329"/>
      <c r="I97" s="329"/>
      <c r="J97" s="329"/>
      <c r="K97" s="329"/>
      <c r="L97" s="329"/>
      <c r="M97" s="329"/>
      <c r="N97" s="329"/>
      <c r="O97" s="329"/>
      <c r="P97" s="329"/>
      <c r="Q97" s="329"/>
      <c r="R97" s="329"/>
      <c r="S97" s="329"/>
      <c r="T97" s="329"/>
      <c r="U97" s="329"/>
      <c r="V97" s="329"/>
      <c r="W97" s="329"/>
    </row>
    <row r="98" spans="1:23" ht="15.75" customHeight="1" x14ac:dyDescent="0.45">
      <c r="A98" s="326"/>
      <c r="B98" s="329"/>
      <c r="C98" s="329"/>
      <c r="D98" s="329"/>
      <c r="E98" s="329"/>
      <c r="F98" s="329"/>
      <c r="G98" s="329"/>
      <c r="H98" s="329"/>
      <c r="I98" s="329"/>
      <c r="J98" s="329"/>
      <c r="K98" s="329"/>
      <c r="L98" s="329"/>
      <c r="M98" s="329"/>
      <c r="N98" s="329"/>
      <c r="O98" s="329"/>
      <c r="P98" s="329"/>
      <c r="Q98" s="329"/>
      <c r="R98" s="329"/>
      <c r="S98" s="329"/>
      <c r="T98" s="329"/>
      <c r="U98" s="329"/>
      <c r="V98" s="329"/>
      <c r="W98" s="329"/>
    </row>
    <row r="99" spans="1:23" ht="15.75" customHeight="1" x14ac:dyDescent="0.45">
      <c r="A99" s="326"/>
      <c r="B99" s="329"/>
      <c r="C99" s="329"/>
      <c r="D99" s="329"/>
      <c r="E99" s="329"/>
      <c r="F99" s="329"/>
      <c r="G99" s="329"/>
      <c r="H99" s="329"/>
      <c r="I99" s="329"/>
      <c r="J99" s="329"/>
      <c r="K99" s="329"/>
      <c r="L99" s="329"/>
      <c r="M99" s="329"/>
      <c r="N99" s="329"/>
      <c r="O99" s="329"/>
      <c r="P99" s="329"/>
      <c r="Q99" s="329"/>
      <c r="R99" s="329"/>
      <c r="S99" s="329"/>
      <c r="T99" s="329"/>
      <c r="U99" s="329"/>
      <c r="V99" s="329"/>
      <c r="W99" s="329"/>
    </row>
    <row r="100" spans="1:23" ht="15.75" customHeight="1" x14ac:dyDescent="0.45">
      <c r="A100" s="326"/>
      <c r="B100" s="329"/>
      <c r="C100" s="329"/>
      <c r="D100" s="329"/>
      <c r="E100" s="329"/>
      <c r="F100" s="329"/>
      <c r="G100" s="329"/>
      <c r="H100" s="329"/>
      <c r="I100" s="329"/>
      <c r="J100" s="329"/>
      <c r="K100" s="329"/>
      <c r="L100" s="329"/>
      <c r="M100" s="329"/>
      <c r="N100" s="329"/>
      <c r="O100" s="329"/>
      <c r="P100" s="329"/>
      <c r="Q100" s="329"/>
      <c r="R100" s="329"/>
      <c r="S100" s="329"/>
      <c r="T100" s="329"/>
      <c r="U100" s="329"/>
      <c r="V100" s="329"/>
      <c r="W100" s="329"/>
    </row>
    <row r="101" spans="1:23" ht="15.75" customHeight="1" x14ac:dyDescent="0.45">
      <c r="A101" s="326"/>
      <c r="B101" s="329"/>
      <c r="C101" s="329"/>
      <c r="D101" s="329"/>
      <c r="E101" s="329"/>
      <c r="F101" s="329"/>
      <c r="G101" s="329"/>
      <c r="H101" s="329"/>
      <c r="I101" s="329"/>
      <c r="J101" s="329"/>
      <c r="K101" s="329"/>
      <c r="L101" s="329"/>
      <c r="M101" s="329"/>
      <c r="N101" s="329"/>
      <c r="O101" s="329"/>
      <c r="P101" s="329"/>
      <c r="Q101" s="329"/>
      <c r="R101" s="329"/>
      <c r="S101" s="329"/>
      <c r="T101" s="329"/>
      <c r="U101" s="329"/>
      <c r="V101" s="329"/>
      <c r="W101" s="329"/>
    </row>
  </sheetData>
  <mergeCells count="6">
    <mergeCell ref="B26:C26"/>
    <mergeCell ref="B1:D1"/>
    <mergeCell ref="C23:I23"/>
    <mergeCell ref="B3:N3"/>
    <mergeCell ref="C15:G16"/>
    <mergeCell ref="C25:I25"/>
  </mergeCells>
  <pageMargins left="0.7" right="0.7" top="0.75" bottom="0.75" header="0" footer="0"/>
  <pageSetup orientation="landscape"/>
  <drawing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I100"/>
  <sheetViews>
    <sheetView workbookViewId="0">
      <selection activeCell="K11" sqref="K11"/>
    </sheetView>
  </sheetViews>
  <sheetFormatPr defaultColWidth="12.61328125" defaultRowHeight="15" customHeight="1" x14ac:dyDescent="0.4"/>
  <cols>
    <col min="1" max="1" width="3.07421875" customWidth="1"/>
    <col min="2" max="2" width="30.921875" customWidth="1"/>
    <col min="3" max="3" width="11" customWidth="1"/>
    <col min="4" max="4" width="2.84375" customWidth="1"/>
    <col min="5" max="5" width="32.3828125" customWidth="1"/>
    <col min="6" max="6" width="14" customWidth="1"/>
    <col min="7" max="7" width="7.69140625" customWidth="1"/>
    <col min="8" max="8" width="10.61328125" customWidth="1"/>
    <col min="9" max="9" width="11.84375" customWidth="1"/>
    <col min="10" max="11" width="7.69140625" customWidth="1"/>
  </cols>
  <sheetData>
    <row r="1" spans="2:6" ht="14.25" customHeight="1" x14ac:dyDescent="0.4">
      <c r="C1" s="39"/>
      <c r="F1" s="39"/>
    </row>
    <row r="2" spans="2:6" ht="14.25" customHeight="1" x14ac:dyDescent="0.45">
      <c r="B2" s="596" t="s">
        <v>590</v>
      </c>
      <c r="C2" s="399"/>
      <c r="D2" s="400"/>
      <c r="E2" s="400"/>
      <c r="F2" s="39"/>
    </row>
    <row r="3" spans="2:6" ht="14.25" customHeight="1" x14ac:dyDescent="0.4">
      <c r="C3" s="39"/>
      <c r="F3" s="39"/>
    </row>
    <row r="4" spans="2:6" ht="14.25" customHeight="1" x14ac:dyDescent="0.4">
      <c r="B4" s="421" t="s">
        <v>437</v>
      </c>
      <c r="C4" s="39"/>
      <c r="E4" s="421" t="s">
        <v>438</v>
      </c>
      <c r="F4" s="39"/>
    </row>
    <row r="5" spans="2:6" ht="14.25" customHeight="1" x14ac:dyDescent="0.4">
      <c r="B5" t="s">
        <v>439</v>
      </c>
      <c r="C5" s="39">
        <v>8962.84</v>
      </c>
      <c r="E5" t="s">
        <v>440</v>
      </c>
      <c r="F5" s="39">
        <v>7170.27</v>
      </c>
    </row>
    <row r="6" spans="2:6" ht="14.25" customHeight="1" x14ac:dyDescent="0.4">
      <c r="B6" t="s">
        <v>441</v>
      </c>
      <c r="C6" s="39">
        <v>1702.94</v>
      </c>
      <c r="E6" t="s">
        <v>442</v>
      </c>
      <c r="F6" s="39">
        <v>20166.39</v>
      </c>
    </row>
    <row r="7" spans="2:6" ht="14.25" customHeight="1" x14ac:dyDescent="0.4">
      <c r="B7" t="s">
        <v>443</v>
      </c>
      <c r="C7" s="39">
        <v>175000</v>
      </c>
      <c r="E7" t="s">
        <v>444</v>
      </c>
      <c r="F7" s="39">
        <v>41229.06</v>
      </c>
    </row>
    <row r="8" spans="2:6" ht="14.25" customHeight="1" x14ac:dyDescent="0.4">
      <c r="B8" t="s">
        <v>445</v>
      </c>
      <c r="C8" s="39">
        <v>62739.87</v>
      </c>
      <c r="E8" t="s">
        <v>446</v>
      </c>
      <c r="F8" s="39">
        <v>26888.52</v>
      </c>
    </row>
    <row r="9" spans="2:6" ht="14.25" customHeight="1" x14ac:dyDescent="0.4">
      <c r="B9" t="s">
        <v>447</v>
      </c>
      <c r="C9" s="39">
        <v>6722.13</v>
      </c>
      <c r="E9" t="s">
        <v>448</v>
      </c>
      <c r="F9" s="39">
        <v>53777.03</v>
      </c>
    </row>
    <row r="10" spans="2:6" ht="14.25" customHeight="1" x14ac:dyDescent="0.4">
      <c r="B10" t="s">
        <v>449</v>
      </c>
      <c r="C10" s="39">
        <v>207928.42</v>
      </c>
      <c r="E10" t="s">
        <v>450</v>
      </c>
      <c r="F10" s="39">
        <v>23751.52</v>
      </c>
    </row>
    <row r="11" spans="2:6" ht="14.25" customHeight="1" x14ac:dyDescent="0.4">
      <c r="B11" t="s">
        <v>451</v>
      </c>
      <c r="C11" s="39">
        <v>32266.22</v>
      </c>
      <c r="E11" t="s">
        <v>452</v>
      </c>
      <c r="F11" s="39">
        <v>80665.55</v>
      </c>
    </row>
    <row r="12" spans="2:6" ht="14.25" customHeight="1" x14ac:dyDescent="0.4">
      <c r="B12" t="s">
        <v>452</v>
      </c>
      <c r="C12" s="39">
        <v>5377.7</v>
      </c>
      <c r="E12" t="s">
        <v>453</v>
      </c>
      <c r="F12" s="39">
        <v>21510.81</v>
      </c>
    </row>
    <row r="13" spans="2:6" ht="14.25" customHeight="1" x14ac:dyDescent="0.4">
      <c r="B13" t="s">
        <v>454</v>
      </c>
      <c r="C13" s="39">
        <v>22407.1</v>
      </c>
      <c r="E13" t="s">
        <v>454</v>
      </c>
      <c r="F13" s="39">
        <v>8962.84</v>
      </c>
    </row>
    <row r="14" spans="2:6" ht="14.25" customHeight="1" x14ac:dyDescent="0.4">
      <c r="B14" t="s">
        <v>455</v>
      </c>
      <c r="C14" s="39">
        <v>604352.73</v>
      </c>
      <c r="E14" t="s">
        <v>456</v>
      </c>
      <c r="F14" s="39">
        <v>31369.9</v>
      </c>
    </row>
    <row r="15" spans="2:6" ht="14.25" customHeight="1" x14ac:dyDescent="0.4">
      <c r="B15" t="s">
        <v>457</v>
      </c>
      <c r="C15" s="39">
        <v>22407.1</v>
      </c>
      <c r="E15" t="s">
        <v>458</v>
      </c>
      <c r="F15" s="39">
        <v>43021.63</v>
      </c>
    </row>
    <row r="16" spans="2:6" ht="14.25" customHeight="1" x14ac:dyDescent="0.4">
      <c r="B16" t="s">
        <v>459</v>
      </c>
      <c r="C16" s="39">
        <v>25095.95</v>
      </c>
      <c r="E16" s="422" t="s">
        <v>451</v>
      </c>
      <c r="F16" s="321">
        <v>31997.34</v>
      </c>
    </row>
    <row r="17" spans="2:6" ht="14.25" customHeight="1" x14ac:dyDescent="0.4">
      <c r="B17" t="s">
        <v>460</v>
      </c>
      <c r="C17" s="39">
        <v>50191.9</v>
      </c>
      <c r="E17" t="s">
        <v>258</v>
      </c>
      <c r="F17" s="39">
        <f>SUM(F5:F16)</f>
        <v>390510.8600000001</v>
      </c>
    </row>
    <row r="18" spans="2:6" ht="14.25" customHeight="1" x14ac:dyDescent="0.4">
      <c r="B18" t="s">
        <v>461</v>
      </c>
      <c r="C18" s="39">
        <v>60230.28</v>
      </c>
      <c r="F18" s="39"/>
    </row>
    <row r="19" spans="2:6" ht="14.25" customHeight="1" x14ac:dyDescent="0.4">
      <c r="B19" t="s">
        <v>462</v>
      </c>
      <c r="C19" s="39">
        <v>13444.26</v>
      </c>
      <c r="F19" s="39"/>
    </row>
    <row r="20" spans="2:6" ht="14.25" customHeight="1" x14ac:dyDescent="0.4">
      <c r="B20" t="s">
        <v>452</v>
      </c>
      <c r="C20" s="39">
        <v>13444.26</v>
      </c>
      <c r="E20" t="s">
        <v>463</v>
      </c>
      <c r="F20" s="39">
        <v>110691.06</v>
      </c>
    </row>
    <row r="21" spans="2:6" ht="14.25" customHeight="1" x14ac:dyDescent="0.4">
      <c r="B21" t="s">
        <v>453</v>
      </c>
      <c r="C21" s="39">
        <v>37643.919999999998</v>
      </c>
      <c r="E21" t="s">
        <v>464</v>
      </c>
      <c r="F21" s="39">
        <v>51088.18</v>
      </c>
    </row>
    <row r="22" spans="2:6" ht="14.25" customHeight="1" x14ac:dyDescent="0.4">
      <c r="B22" t="s">
        <v>465</v>
      </c>
      <c r="C22" s="39">
        <v>12547.97</v>
      </c>
      <c r="E22" t="s">
        <v>466</v>
      </c>
      <c r="F22" s="39">
        <v>24759.84</v>
      </c>
    </row>
    <row r="23" spans="2:6" ht="14.25" customHeight="1" x14ac:dyDescent="0.4">
      <c r="B23" s="422" t="s">
        <v>467</v>
      </c>
      <c r="C23" s="321">
        <v>64749.34</v>
      </c>
      <c r="E23" t="s">
        <v>468</v>
      </c>
      <c r="F23" s="39">
        <v>31369.94</v>
      </c>
    </row>
    <row r="24" spans="2:6" ht="14.25" customHeight="1" x14ac:dyDescent="0.4">
      <c r="B24" t="s">
        <v>469</v>
      </c>
      <c r="C24" s="39">
        <f>SUM(C5:C23)</f>
        <v>1427214.93</v>
      </c>
      <c r="E24" t="s">
        <v>470</v>
      </c>
      <c r="F24" s="39">
        <v>5377.7</v>
      </c>
    </row>
    <row r="25" spans="2:6" ht="14.25" customHeight="1" x14ac:dyDescent="0.4">
      <c r="C25" s="39"/>
      <c r="E25" t="s">
        <v>471</v>
      </c>
      <c r="F25" s="39">
        <v>112035.49</v>
      </c>
    </row>
    <row r="26" spans="2:6" ht="14.25" customHeight="1" x14ac:dyDescent="0.4">
      <c r="B26" s="421" t="s">
        <v>472</v>
      </c>
      <c r="C26" s="39"/>
      <c r="E26" t="s">
        <v>473</v>
      </c>
      <c r="F26" s="39">
        <v>31369.9</v>
      </c>
    </row>
    <row r="27" spans="2:6" ht="14.25" customHeight="1" x14ac:dyDescent="0.4">
      <c r="B27" t="s">
        <v>474</v>
      </c>
      <c r="C27" s="39">
        <v>31369.94</v>
      </c>
      <c r="E27" t="s">
        <v>475</v>
      </c>
      <c r="F27" s="39">
        <v>48399.33</v>
      </c>
    </row>
    <row r="28" spans="2:6" ht="14.25" customHeight="1" x14ac:dyDescent="0.4">
      <c r="B28" t="s">
        <v>476</v>
      </c>
      <c r="C28" s="39">
        <v>35044.699999999997</v>
      </c>
      <c r="E28" t="s">
        <v>477</v>
      </c>
      <c r="F28" s="39">
        <v>5377.7</v>
      </c>
    </row>
    <row r="29" spans="2:6" ht="14.25" customHeight="1" x14ac:dyDescent="0.4">
      <c r="B29" t="s">
        <v>478</v>
      </c>
      <c r="C29" s="39">
        <v>24468.55</v>
      </c>
      <c r="E29" t="s">
        <v>479</v>
      </c>
      <c r="F29" s="39">
        <v>320000</v>
      </c>
    </row>
    <row r="30" spans="2:6" ht="14.25" customHeight="1" x14ac:dyDescent="0.4">
      <c r="B30" s="422" t="s">
        <v>470</v>
      </c>
      <c r="C30" s="321">
        <v>9859.1200000000008</v>
      </c>
      <c r="E30" t="s">
        <v>480</v>
      </c>
      <c r="F30" s="39">
        <f>SUM(F20:F29)</f>
        <v>740469.14000000013</v>
      </c>
    </row>
    <row r="31" spans="2:6" ht="14.25" customHeight="1" x14ac:dyDescent="0.4">
      <c r="B31" t="s">
        <v>469</v>
      </c>
      <c r="C31" s="39">
        <f>SUM(C27:C30)</f>
        <v>100742.31</v>
      </c>
      <c r="E31" s="423" t="s">
        <v>481</v>
      </c>
      <c r="F31" s="401">
        <f>+F30+F17+C24+C31</f>
        <v>2658937.2400000002</v>
      </c>
    </row>
    <row r="32" spans="2:6" ht="14.25" customHeight="1" x14ac:dyDescent="0.4">
      <c r="C32" s="39"/>
      <c r="E32" t="s">
        <v>482</v>
      </c>
      <c r="F32" s="321">
        <v>-185000</v>
      </c>
    </row>
    <row r="33" spans="3:9" ht="14.25" customHeight="1" x14ac:dyDescent="0.4">
      <c r="C33" s="39"/>
      <c r="E33" s="424" t="s">
        <v>483</v>
      </c>
      <c r="F33" s="402">
        <f>F31+F32</f>
        <v>2473937.2400000002</v>
      </c>
      <c r="H33" s="119"/>
      <c r="I33" s="119"/>
    </row>
    <row r="34" spans="3:9" ht="14.25" customHeight="1" x14ac:dyDescent="0.4">
      <c r="C34" s="39"/>
      <c r="E34" s="24"/>
      <c r="F34" s="49"/>
    </row>
    <row r="35" spans="3:9" ht="14.25" customHeight="1" x14ac:dyDescent="0.4">
      <c r="C35" s="39"/>
      <c r="F35" s="39"/>
    </row>
    <row r="36" spans="3:9" ht="14.25" customHeight="1" x14ac:dyDescent="0.4">
      <c r="C36" s="39"/>
      <c r="F36" s="39"/>
    </row>
    <row r="37" spans="3:9" ht="14.25" customHeight="1" x14ac:dyDescent="0.4">
      <c r="C37" s="39"/>
      <c r="F37" s="39"/>
    </row>
    <row r="38" spans="3:9" ht="14.25" customHeight="1" x14ac:dyDescent="0.4">
      <c r="C38" s="39"/>
      <c r="F38" s="39"/>
    </row>
    <row r="39" spans="3:9" ht="14.25" customHeight="1" x14ac:dyDescent="0.4">
      <c r="C39" s="39"/>
      <c r="F39" s="39"/>
    </row>
    <row r="40" spans="3:9" ht="14.25" customHeight="1" x14ac:dyDescent="0.4">
      <c r="C40" s="39"/>
      <c r="F40" s="39"/>
    </row>
    <row r="41" spans="3:9" ht="14.25" customHeight="1" x14ac:dyDescent="0.4">
      <c r="C41" s="39"/>
      <c r="F41" s="39"/>
    </row>
    <row r="42" spans="3:9" ht="14.25" customHeight="1" x14ac:dyDescent="0.4">
      <c r="C42" s="39"/>
      <c r="F42" s="39"/>
    </row>
    <row r="43" spans="3:9" ht="14.25" customHeight="1" x14ac:dyDescent="0.4">
      <c r="C43" s="39"/>
      <c r="F43" s="39"/>
    </row>
    <row r="44" spans="3:9" ht="14.25" customHeight="1" x14ac:dyDescent="0.4">
      <c r="C44" s="39"/>
      <c r="F44" s="39"/>
    </row>
    <row r="45" spans="3:9" ht="14.25" customHeight="1" x14ac:dyDescent="0.4">
      <c r="C45" s="39"/>
      <c r="F45" s="39"/>
    </row>
    <row r="46" spans="3:9" ht="14.25" customHeight="1" x14ac:dyDescent="0.4">
      <c r="C46" s="39"/>
      <c r="F46" s="39"/>
    </row>
    <row r="47" spans="3:9" ht="14.25" customHeight="1" x14ac:dyDescent="0.4">
      <c r="C47" s="39"/>
      <c r="F47" s="39"/>
    </row>
    <row r="48" spans="3:9" ht="14.25" customHeight="1" x14ac:dyDescent="0.4">
      <c r="C48" s="39"/>
      <c r="F48" s="39"/>
    </row>
    <row r="49" spans="3:6" ht="14.25" customHeight="1" x14ac:dyDescent="0.4">
      <c r="C49" s="39"/>
      <c r="F49" s="39"/>
    </row>
    <row r="50" spans="3:6" ht="14.25" customHeight="1" x14ac:dyDescent="0.4">
      <c r="C50" s="39"/>
      <c r="F50" s="39"/>
    </row>
    <row r="51" spans="3:6" ht="14.25" customHeight="1" x14ac:dyDescent="0.4">
      <c r="C51" s="39"/>
      <c r="F51" s="39"/>
    </row>
    <row r="52" spans="3:6" ht="14.25" customHeight="1" x14ac:dyDescent="0.4">
      <c r="C52" s="39"/>
      <c r="F52" s="39"/>
    </row>
    <row r="53" spans="3:6" ht="14.25" customHeight="1" x14ac:dyDescent="0.4">
      <c r="C53" s="39"/>
      <c r="F53" s="39"/>
    </row>
    <row r="54" spans="3:6" ht="14.25" customHeight="1" x14ac:dyDescent="0.4">
      <c r="C54" s="39"/>
      <c r="F54" s="39"/>
    </row>
    <row r="55" spans="3:6" ht="14.25" customHeight="1" x14ac:dyDescent="0.4">
      <c r="C55" s="39"/>
      <c r="F55" s="39"/>
    </row>
    <row r="56" spans="3:6" ht="14.25" customHeight="1" x14ac:dyDescent="0.4">
      <c r="C56" s="39"/>
      <c r="F56" s="39"/>
    </row>
    <row r="57" spans="3:6" ht="14.25" customHeight="1" x14ac:dyDescent="0.4">
      <c r="C57" s="39"/>
      <c r="F57" s="39"/>
    </row>
    <row r="58" spans="3:6" ht="14.25" customHeight="1" x14ac:dyDescent="0.4">
      <c r="C58" s="39"/>
      <c r="F58" s="39"/>
    </row>
    <row r="59" spans="3:6" ht="14.25" customHeight="1" x14ac:dyDescent="0.4">
      <c r="C59" s="39"/>
      <c r="F59" s="39"/>
    </row>
    <row r="60" spans="3:6" ht="14.25" customHeight="1" x14ac:dyDescent="0.4">
      <c r="C60" s="39"/>
      <c r="F60" s="39"/>
    </row>
    <row r="61" spans="3:6" ht="14.25" customHeight="1" x14ac:dyDescent="0.4">
      <c r="C61" s="39"/>
      <c r="F61" s="39"/>
    </row>
    <row r="62" spans="3:6" ht="14.25" customHeight="1" x14ac:dyDescent="0.4">
      <c r="C62" s="39"/>
      <c r="F62" s="39"/>
    </row>
    <row r="63" spans="3:6" ht="14.25" customHeight="1" x14ac:dyDescent="0.4">
      <c r="C63" s="39"/>
      <c r="F63" s="39"/>
    </row>
    <row r="64" spans="3:6" ht="14.25" customHeight="1" x14ac:dyDescent="0.4">
      <c r="C64" s="39"/>
      <c r="F64" s="39"/>
    </row>
    <row r="65" spans="3:6" ht="14.25" customHeight="1" x14ac:dyDescent="0.4">
      <c r="C65" s="39"/>
      <c r="F65" s="39"/>
    </row>
    <row r="66" spans="3:6" ht="14.25" customHeight="1" x14ac:dyDescent="0.4">
      <c r="C66" s="39"/>
      <c r="F66" s="39"/>
    </row>
    <row r="67" spans="3:6" ht="14.25" customHeight="1" x14ac:dyDescent="0.4">
      <c r="C67" s="39"/>
      <c r="F67" s="39"/>
    </row>
    <row r="68" spans="3:6" ht="14.25" customHeight="1" x14ac:dyDescent="0.4">
      <c r="C68" s="39"/>
      <c r="F68" s="39"/>
    </row>
    <row r="69" spans="3:6" ht="14.25" customHeight="1" x14ac:dyDescent="0.4">
      <c r="C69" s="39"/>
      <c r="F69" s="39"/>
    </row>
    <row r="70" spans="3:6" ht="14.25" customHeight="1" x14ac:dyDescent="0.4">
      <c r="C70" s="39"/>
      <c r="F70" s="39"/>
    </row>
    <row r="71" spans="3:6" ht="14.25" customHeight="1" x14ac:dyDescent="0.4">
      <c r="C71" s="39"/>
      <c r="F71" s="39"/>
    </row>
    <row r="72" spans="3:6" ht="14.25" customHeight="1" x14ac:dyDescent="0.4">
      <c r="C72" s="39"/>
      <c r="F72" s="39"/>
    </row>
    <row r="73" spans="3:6" ht="14.25" customHeight="1" x14ac:dyDescent="0.4">
      <c r="C73" s="39"/>
      <c r="F73" s="39"/>
    </row>
    <row r="74" spans="3:6" ht="14.25" customHeight="1" x14ac:dyDescent="0.4">
      <c r="C74" s="39"/>
      <c r="F74" s="39"/>
    </row>
    <row r="75" spans="3:6" ht="14.25" customHeight="1" x14ac:dyDescent="0.4">
      <c r="C75" s="39"/>
      <c r="F75" s="39"/>
    </row>
    <row r="76" spans="3:6" ht="14.25" customHeight="1" x14ac:dyDescent="0.4">
      <c r="C76" s="39"/>
      <c r="F76" s="39"/>
    </row>
    <row r="77" spans="3:6" ht="14.25" customHeight="1" x14ac:dyDescent="0.4">
      <c r="C77" s="39"/>
      <c r="F77" s="39"/>
    </row>
    <row r="78" spans="3:6" ht="14.25" customHeight="1" x14ac:dyDescent="0.4">
      <c r="C78" s="39"/>
      <c r="F78" s="39"/>
    </row>
    <row r="79" spans="3:6" ht="14.25" customHeight="1" x14ac:dyDescent="0.4">
      <c r="C79" s="39"/>
      <c r="F79" s="39"/>
    </row>
    <row r="80" spans="3:6" ht="14.25" customHeight="1" x14ac:dyDescent="0.4">
      <c r="C80" s="39"/>
      <c r="F80" s="39"/>
    </row>
    <row r="81" spans="3:6" ht="14.25" customHeight="1" x14ac:dyDescent="0.4">
      <c r="C81" s="39"/>
      <c r="F81" s="39"/>
    </row>
    <row r="82" spans="3:6" ht="14.25" customHeight="1" x14ac:dyDescent="0.4">
      <c r="C82" s="39"/>
      <c r="F82" s="39"/>
    </row>
    <row r="83" spans="3:6" ht="14.25" customHeight="1" x14ac:dyDescent="0.4">
      <c r="C83" s="39"/>
      <c r="F83" s="39"/>
    </row>
    <row r="84" spans="3:6" ht="14.25" customHeight="1" x14ac:dyDescent="0.4">
      <c r="C84" s="39"/>
      <c r="F84" s="39"/>
    </row>
    <row r="85" spans="3:6" ht="14.25" customHeight="1" x14ac:dyDescent="0.4">
      <c r="C85" s="39"/>
      <c r="F85" s="39"/>
    </row>
    <row r="86" spans="3:6" ht="14.25" customHeight="1" x14ac:dyDescent="0.4">
      <c r="C86" s="39"/>
      <c r="F86" s="39"/>
    </row>
    <row r="87" spans="3:6" ht="14.25" customHeight="1" x14ac:dyDescent="0.4">
      <c r="C87" s="39"/>
      <c r="F87" s="39"/>
    </row>
    <row r="88" spans="3:6" ht="14.25" customHeight="1" x14ac:dyDescent="0.4">
      <c r="C88" s="39"/>
      <c r="F88" s="39"/>
    </row>
    <row r="89" spans="3:6" ht="14.25" customHeight="1" x14ac:dyDescent="0.4">
      <c r="C89" s="39"/>
      <c r="F89" s="39"/>
    </row>
    <row r="90" spans="3:6" ht="14.25" customHeight="1" x14ac:dyDescent="0.4">
      <c r="C90" s="39"/>
      <c r="F90" s="39"/>
    </row>
    <row r="91" spans="3:6" ht="14.25" customHeight="1" x14ac:dyDescent="0.4">
      <c r="C91" s="39"/>
      <c r="F91" s="39"/>
    </row>
    <row r="92" spans="3:6" ht="14.25" customHeight="1" x14ac:dyDescent="0.4">
      <c r="C92" s="39"/>
      <c r="F92" s="39"/>
    </row>
    <row r="93" spans="3:6" ht="14.25" customHeight="1" x14ac:dyDescent="0.4">
      <c r="C93" s="39"/>
      <c r="F93" s="39"/>
    </row>
    <row r="94" spans="3:6" ht="14.25" customHeight="1" x14ac:dyDescent="0.4">
      <c r="C94" s="39"/>
      <c r="F94" s="39"/>
    </row>
    <row r="95" spans="3:6" ht="14.25" customHeight="1" x14ac:dyDescent="0.4">
      <c r="C95" s="39"/>
      <c r="F95" s="39"/>
    </row>
    <row r="96" spans="3:6" ht="14.25" customHeight="1" x14ac:dyDescent="0.4">
      <c r="C96" s="39"/>
      <c r="F96" s="39"/>
    </row>
    <row r="97" spans="3:6" ht="14.25" customHeight="1" x14ac:dyDescent="0.4">
      <c r="C97" s="39"/>
      <c r="F97" s="39"/>
    </row>
    <row r="98" spans="3:6" ht="14.25" customHeight="1" x14ac:dyDescent="0.4">
      <c r="C98" s="39"/>
      <c r="F98" s="39"/>
    </row>
    <row r="99" spans="3:6" ht="14.25" customHeight="1" x14ac:dyDescent="0.4">
      <c r="C99" s="39"/>
      <c r="F99" s="39"/>
    </row>
    <row r="100" spans="3:6" ht="14.25" customHeight="1" x14ac:dyDescent="0.4">
      <c r="C100" s="39"/>
      <c r="F100" s="39"/>
    </row>
  </sheetData>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sheetPr>
  <dimension ref="A1:CR100"/>
  <sheetViews>
    <sheetView workbookViewId="0">
      <selection activeCell="C23" sqref="C23"/>
    </sheetView>
  </sheetViews>
  <sheetFormatPr defaultColWidth="12.61328125" defaultRowHeight="15" customHeight="1" outlineLevelCol="2" x14ac:dyDescent="0.4"/>
  <cols>
    <col min="1" max="1" width="7.69140625" customWidth="1"/>
    <col min="2" max="2" width="37.84375" bestFit="1" customWidth="1"/>
    <col min="3" max="3" width="28.69140625" bestFit="1" customWidth="1"/>
    <col min="4" max="4" width="14.23046875" customWidth="1"/>
    <col min="5" max="5" width="5.3046875" bestFit="1" customWidth="1"/>
    <col min="6" max="17" width="10.07421875" hidden="1" customWidth="1" outlineLevel="1"/>
    <col min="18" max="18" width="11.69140625" bestFit="1" customWidth="1" collapsed="1"/>
    <col min="19" max="30" width="10.07421875" hidden="1" customWidth="1" outlineLevel="2"/>
    <col min="31" max="31" width="11.69140625" bestFit="1" customWidth="1" collapsed="1"/>
    <col min="32" max="43" width="10.07421875" hidden="1" customWidth="1" outlineLevel="1"/>
    <col min="44" max="44" width="11.69140625" bestFit="1" customWidth="1" collapsed="1"/>
    <col min="45" max="56" width="10.07421875" hidden="1" customWidth="1" outlineLevel="1"/>
    <col min="57" max="57" width="11.69140625" bestFit="1" customWidth="1" collapsed="1"/>
    <col min="58" max="69" width="10.07421875" hidden="1" customWidth="1" outlineLevel="1"/>
    <col min="70" max="70" width="11.69140625" bestFit="1" customWidth="1" collapsed="1"/>
    <col min="71" max="82" width="10.07421875" hidden="1" customWidth="1" outlineLevel="1"/>
    <col min="83" max="83" width="11.69140625" bestFit="1" customWidth="1" collapsed="1"/>
    <col min="84" max="95" width="10.07421875" hidden="1" customWidth="1" outlineLevel="1"/>
    <col min="96" max="96" width="11.69140625" bestFit="1" customWidth="1" collapsed="1"/>
  </cols>
  <sheetData>
    <row r="1" spans="1:96" ht="14.25" customHeight="1" x14ac:dyDescent="0.4">
      <c r="D1" s="49"/>
      <c r="R1" s="24"/>
      <c r="AE1" s="24"/>
      <c r="AR1" s="24"/>
      <c r="BE1" s="24"/>
      <c r="BR1" s="24"/>
      <c r="CE1" s="24"/>
      <c r="CR1" s="24"/>
    </row>
    <row r="2" spans="1:96" ht="14.25" customHeight="1" x14ac:dyDescent="0.5">
      <c r="B2" s="403" t="s">
        <v>484</v>
      </c>
      <c r="C2" s="109"/>
      <c r="D2" s="404" t="s">
        <v>485</v>
      </c>
      <c r="E2" s="405">
        <v>1.04</v>
      </c>
      <c r="R2" s="24"/>
      <c r="AE2" s="24"/>
      <c r="AR2" s="24"/>
      <c r="BE2" s="24"/>
      <c r="BR2" s="24"/>
      <c r="CE2" s="24"/>
      <c r="CR2" s="24"/>
    </row>
    <row r="3" spans="1:96" ht="14.25" customHeight="1" x14ac:dyDescent="0.4">
      <c r="B3" s="24"/>
      <c r="D3" s="406" t="s">
        <v>486</v>
      </c>
      <c r="E3" s="83"/>
      <c r="F3" s="83">
        <v>1</v>
      </c>
      <c r="G3" s="83">
        <v>2</v>
      </c>
      <c r="H3" s="83">
        <v>3</v>
      </c>
      <c r="I3" s="83">
        <v>4</v>
      </c>
      <c r="J3" s="83">
        <v>5</v>
      </c>
      <c r="K3" s="83">
        <v>6</v>
      </c>
      <c r="L3" s="83">
        <v>7</v>
      </c>
      <c r="M3" s="83">
        <v>8</v>
      </c>
      <c r="N3" s="83">
        <v>9</v>
      </c>
      <c r="O3" s="83">
        <v>10</v>
      </c>
      <c r="P3" s="83">
        <v>11</v>
      </c>
      <c r="Q3" s="83">
        <v>12</v>
      </c>
      <c r="R3" s="83" t="s">
        <v>61</v>
      </c>
      <c r="S3" s="83">
        <v>13</v>
      </c>
      <c r="T3" s="83">
        <v>14</v>
      </c>
      <c r="U3" s="83">
        <v>15</v>
      </c>
      <c r="V3" s="83">
        <v>16</v>
      </c>
      <c r="W3" s="84">
        <v>17</v>
      </c>
      <c r="X3" s="83">
        <v>18</v>
      </c>
      <c r="Y3" s="83">
        <v>19</v>
      </c>
      <c r="Z3" s="83">
        <v>20</v>
      </c>
      <c r="AA3" s="83">
        <v>21</v>
      </c>
      <c r="AB3" s="83">
        <v>22</v>
      </c>
      <c r="AC3" s="83">
        <v>23</v>
      </c>
      <c r="AD3" s="83">
        <v>24</v>
      </c>
      <c r="AE3" s="83" t="s">
        <v>62</v>
      </c>
      <c r="AF3" s="83">
        <v>25</v>
      </c>
      <c r="AG3" s="83">
        <v>26</v>
      </c>
      <c r="AH3" s="83">
        <v>27</v>
      </c>
      <c r="AI3" s="83">
        <v>28</v>
      </c>
      <c r="AJ3" s="83">
        <v>29</v>
      </c>
      <c r="AK3" s="83">
        <v>30</v>
      </c>
      <c r="AL3" s="83">
        <v>31</v>
      </c>
      <c r="AM3" s="83">
        <v>32</v>
      </c>
      <c r="AN3" s="83">
        <v>33</v>
      </c>
      <c r="AO3" s="83">
        <v>34</v>
      </c>
      <c r="AP3" s="83">
        <v>35</v>
      </c>
      <c r="AQ3" s="83">
        <v>36</v>
      </c>
      <c r="AR3" s="83" t="s">
        <v>63</v>
      </c>
      <c r="AS3" s="83">
        <v>37</v>
      </c>
      <c r="AT3" s="83">
        <v>38</v>
      </c>
      <c r="AU3" s="83">
        <v>39</v>
      </c>
      <c r="AV3" s="83">
        <v>40</v>
      </c>
      <c r="AW3" s="83">
        <v>41</v>
      </c>
      <c r="AX3" s="83">
        <v>42</v>
      </c>
      <c r="AY3" s="83">
        <v>43</v>
      </c>
      <c r="AZ3" s="83">
        <v>44</v>
      </c>
      <c r="BA3" s="83">
        <v>45</v>
      </c>
      <c r="BB3" s="83">
        <v>46</v>
      </c>
      <c r="BC3" s="83">
        <v>47</v>
      </c>
      <c r="BD3" s="83">
        <v>48</v>
      </c>
      <c r="BE3" s="83" t="s">
        <v>64</v>
      </c>
      <c r="BF3" s="83">
        <v>49</v>
      </c>
      <c r="BG3" s="83">
        <v>50</v>
      </c>
      <c r="BH3" s="83">
        <v>51</v>
      </c>
      <c r="BI3" s="83">
        <v>52</v>
      </c>
      <c r="BJ3" s="83">
        <v>53</v>
      </c>
      <c r="BK3" s="83">
        <v>54</v>
      </c>
      <c r="BL3" s="83">
        <v>55</v>
      </c>
      <c r="BM3" s="83">
        <v>56</v>
      </c>
      <c r="BN3" s="83">
        <v>57</v>
      </c>
      <c r="BO3" s="83">
        <v>58</v>
      </c>
      <c r="BP3" s="83">
        <v>59</v>
      </c>
      <c r="BQ3" s="83">
        <v>60</v>
      </c>
      <c r="BR3" s="83" t="s">
        <v>65</v>
      </c>
      <c r="BS3" s="83">
        <v>61</v>
      </c>
      <c r="BT3" s="83">
        <v>62</v>
      </c>
      <c r="BU3" s="83">
        <v>63</v>
      </c>
      <c r="BV3" s="83">
        <v>64</v>
      </c>
      <c r="BW3" s="83">
        <v>65</v>
      </c>
      <c r="BX3" s="83">
        <v>66</v>
      </c>
      <c r="BY3" s="83">
        <v>67</v>
      </c>
      <c r="BZ3" s="83">
        <v>68</v>
      </c>
      <c r="CA3" s="83">
        <v>69</v>
      </c>
      <c r="CB3" s="83">
        <v>70</v>
      </c>
      <c r="CC3" s="83">
        <v>71</v>
      </c>
      <c r="CD3" s="83">
        <v>72</v>
      </c>
      <c r="CE3" s="83" t="s">
        <v>66</v>
      </c>
      <c r="CF3" s="83">
        <v>73</v>
      </c>
      <c r="CG3" s="83">
        <v>74</v>
      </c>
      <c r="CH3" s="83">
        <v>75</v>
      </c>
      <c r="CI3" s="83">
        <v>76</v>
      </c>
      <c r="CJ3" s="83">
        <v>77</v>
      </c>
      <c r="CK3" s="83">
        <v>78</v>
      </c>
      <c r="CL3" s="83">
        <v>79</v>
      </c>
      <c r="CM3" s="83">
        <v>80</v>
      </c>
      <c r="CN3" s="83">
        <v>81</v>
      </c>
      <c r="CO3" s="83">
        <v>82</v>
      </c>
      <c r="CP3" s="83">
        <v>83</v>
      </c>
      <c r="CQ3" s="83">
        <v>84</v>
      </c>
      <c r="CR3" s="83" t="s">
        <v>67</v>
      </c>
    </row>
    <row r="4" spans="1:96" ht="14.25" customHeight="1" x14ac:dyDescent="0.4">
      <c r="A4" s="39"/>
      <c r="B4" t="s">
        <v>487</v>
      </c>
      <c r="C4" s="39" t="s">
        <v>488</v>
      </c>
      <c r="D4" s="49">
        <f t="shared" ref="D4:D18" si="0">SUM(F4:CR4)-R4-AE4-AR4-BE4-BR4-CE4-CR4</f>
        <v>-1667117.4144000001</v>
      </c>
      <c r="E4" s="118"/>
      <c r="F4" s="39">
        <v>-15000</v>
      </c>
      <c r="G4" s="39">
        <f t="shared" ref="G4:Q4" si="1">F4</f>
        <v>-15000</v>
      </c>
      <c r="H4" s="39">
        <f t="shared" si="1"/>
        <v>-15000</v>
      </c>
      <c r="I4" s="39">
        <f t="shared" si="1"/>
        <v>-15000</v>
      </c>
      <c r="J4" s="39">
        <f t="shared" si="1"/>
        <v>-15000</v>
      </c>
      <c r="K4" s="39">
        <f t="shared" si="1"/>
        <v>-15000</v>
      </c>
      <c r="L4" s="39">
        <f t="shared" si="1"/>
        <v>-15000</v>
      </c>
      <c r="M4" s="39">
        <f t="shared" si="1"/>
        <v>-15000</v>
      </c>
      <c r="N4" s="39">
        <f t="shared" si="1"/>
        <v>-15000</v>
      </c>
      <c r="O4" s="39">
        <f t="shared" si="1"/>
        <v>-15000</v>
      </c>
      <c r="P4" s="39">
        <f t="shared" si="1"/>
        <v>-15000</v>
      </c>
      <c r="Q4" s="39">
        <f t="shared" si="1"/>
        <v>-15000</v>
      </c>
      <c r="R4" s="49">
        <f t="shared" ref="R4:R19" si="2">SUM(F4:Q4)</f>
        <v>-180000</v>
      </c>
      <c r="S4" s="72">
        <f t="shared" ref="S4:S14" si="3">Q4*$E$2</f>
        <v>-15600</v>
      </c>
      <c r="T4" s="72">
        <f t="shared" ref="T4:AD4" si="4">S4</f>
        <v>-15600</v>
      </c>
      <c r="U4" s="72">
        <f t="shared" si="4"/>
        <v>-15600</v>
      </c>
      <c r="V4" s="72">
        <f t="shared" si="4"/>
        <v>-15600</v>
      </c>
      <c r="W4" s="72">
        <f t="shared" si="4"/>
        <v>-15600</v>
      </c>
      <c r="X4" s="72">
        <f t="shared" si="4"/>
        <v>-15600</v>
      </c>
      <c r="Y4" s="72">
        <f t="shared" si="4"/>
        <v>-15600</v>
      </c>
      <c r="Z4" s="72">
        <f t="shared" si="4"/>
        <v>-15600</v>
      </c>
      <c r="AA4" s="72">
        <f t="shared" si="4"/>
        <v>-15600</v>
      </c>
      <c r="AB4" s="72">
        <f t="shared" si="4"/>
        <v>-15600</v>
      </c>
      <c r="AC4" s="72">
        <f t="shared" si="4"/>
        <v>-15600</v>
      </c>
      <c r="AD4" s="72">
        <f t="shared" si="4"/>
        <v>-15600</v>
      </c>
      <c r="AE4" s="49">
        <f t="shared" ref="AE4:AE19" si="5">SUM(S4:AD4)</f>
        <v>-187200</v>
      </c>
      <c r="AF4" s="72">
        <v>-20000</v>
      </c>
      <c r="AG4" s="72">
        <f t="shared" ref="AG4:AQ4" si="6">AF4</f>
        <v>-20000</v>
      </c>
      <c r="AH4" s="72">
        <f t="shared" si="6"/>
        <v>-20000</v>
      </c>
      <c r="AI4" s="72">
        <f t="shared" si="6"/>
        <v>-20000</v>
      </c>
      <c r="AJ4" s="72">
        <f t="shared" si="6"/>
        <v>-20000</v>
      </c>
      <c r="AK4" s="72">
        <f t="shared" si="6"/>
        <v>-20000</v>
      </c>
      <c r="AL4" s="72">
        <f t="shared" si="6"/>
        <v>-20000</v>
      </c>
      <c r="AM4" s="72">
        <f t="shared" si="6"/>
        <v>-20000</v>
      </c>
      <c r="AN4" s="72">
        <f t="shared" si="6"/>
        <v>-20000</v>
      </c>
      <c r="AO4" s="72">
        <f t="shared" si="6"/>
        <v>-20000</v>
      </c>
      <c r="AP4" s="72">
        <f t="shared" si="6"/>
        <v>-20000</v>
      </c>
      <c r="AQ4" s="72">
        <f t="shared" si="6"/>
        <v>-20000</v>
      </c>
      <c r="AR4" s="49">
        <f t="shared" ref="AR4:AR19" si="7">SUM(AF4:AQ4)</f>
        <v>-240000</v>
      </c>
      <c r="AS4" s="72">
        <f t="shared" ref="AS4:AS9" si="8">AQ4*$E$2</f>
        <v>-20800</v>
      </c>
      <c r="AT4" s="72">
        <f t="shared" ref="AT4:BD4" si="9">AS4</f>
        <v>-20800</v>
      </c>
      <c r="AU4" s="72">
        <f t="shared" si="9"/>
        <v>-20800</v>
      </c>
      <c r="AV4" s="72">
        <f t="shared" si="9"/>
        <v>-20800</v>
      </c>
      <c r="AW4" s="72">
        <f t="shared" si="9"/>
        <v>-20800</v>
      </c>
      <c r="AX4" s="72">
        <f t="shared" si="9"/>
        <v>-20800</v>
      </c>
      <c r="AY4" s="72">
        <f t="shared" si="9"/>
        <v>-20800</v>
      </c>
      <c r="AZ4" s="72">
        <f t="shared" si="9"/>
        <v>-20800</v>
      </c>
      <c r="BA4" s="72">
        <f t="shared" si="9"/>
        <v>-20800</v>
      </c>
      <c r="BB4" s="72">
        <f t="shared" si="9"/>
        <v>-20800</v>
      </c>
      <c r="BC4" s="72">
        <f t="shared" si="9"/>
        <v>-20800</v>
      </c>
      <c r="BD4" s="72">
        <f t="shared" si="9"/>
        <v>-20800</v>
      </c>
      <c r="BE4" s="438">
        <f t="shared" ref="BE4:BE19" si="10">SUM(AS4:BD4)</f>
        <v>-249600</v>
      </c>
      <c r="BF4" s="72">
        <f t="shared" ref="BF4:BF9" si="11">BD4*$E$2</f>
        <v>-21632</v>
      </c>
      <c r="BG4" s="72">
        <f t="shared" ref="BG4:BQ4" si="12">BF4</f>
        <v>-21632</v>
      </c>
      <c r="BH4" s="72">
        <f t="shared" si="12"/>
        <v>-21632</v>
      </c>
      <c r="BI4" s="72">
        <f t="shared" si="12"/>
        <v>-21632</v>
      </c>
      <c r="BJ4" s="72">
        <f t="shared" si="12"/>
        <v>-21632</v>
      </c>
      <c r="BK4" s="72">
        <f t="shared" si="12"/>
        <v>-21632</v>
      </c>
      <c r="BL4" s="72">
        <f t="shared" si="12"/>
        <v>-21632</v>
      </c>
      <c r="BM4" s="72">
        <f t="shared" si="12"/>
        <v>-21632</v>
      </c>
      <c r="BN4" s="72">
        <f t="shared" si="12"/>
        <v>-21632</v>
      </c>
      <c r="BO4" s="72">
        <f t="shared" si="12"/>
        <v>-21632</v>
      </c>
      <c r="BP4" s="72">
        <f t="shared" si="12"/>
        <v>-21632</v>
      </c>
      <c r="BQ4" s="72">
        <f t="shared" si="12"/>
        <v>-21632</v>
      </c>
      <c r="BR4" s="49">
        <f t="shared" ref="BR4:BR19" si="13">SUM(BF4:BQ4)</f>
        <v>-259584</v>
      </c>
      <c r="BS4" s="72">
        <f t="shared" ref="BS4:BS9" si="14">BQ4*$E$2</f>
        <v>-22497.280000000002</v>
      </c>
      <c r="BT4" s="72">
        <f t="shared" ref="BT4:CD4" si="15">BS4</f>
        <v>-22497.280000000002</v>
      </c>
      <c r="BU4" s="72">
        <f t="shared" si="15"/>
        <v>-22497.280000000002</v>
      </c>
      <c r="BV4" s="72">
        <f t="shared" si="15"/>
        <v>-22497.280000000002</v>
      </c>
      <c r="BW4" s="72">
        <f t="shared" si="15"/>
        <v>-22497.280000000002</v>
      </c>
      <c r="BX4" s="72">
        <f t="shared" si="15"/>
        <v>-22497.280000000002</v>
      </c>
      <c r="BY4" s="72">
        <f t="shared" si="15"/>
        <v>-22497.280000000002</v>
      </c>
      <c r="BZ4" s="72">
        <f t="shared" si="15"/>
        <v>-22497.280000000002</v>
      </c>
      <c r="CA4" s="72">
        <f t="shared" si="15"/>
        <v>-22497.280000000002</v>
      </c>
      <c r="CB4" s="72">
        <f t="shared" si="15"/>
        <v>-22497.280000000002</v>
      </c>
      <c r="CC4" s="72">
        <f t="shared" si="15"/>
        <v>-22497.280000000002</v>
      </c>
      <c r="CD4" s="72">
        <f t="shared" si="15"/>
        <v>-22497.280000000002</v>
      </c>
      <c r="CE4" s="49">
        <f t="shared" ref="CE4:CE19" si="16">SUM(BS4:CD4)</f>
        <v>-269967.36000000004</v>
      </c>
      <c r="CF4" s="72">
        <f t="shared" ref="CF4:CF9" si="17">CD4*$E$2</f>
        <v>-23397.171200000004</v>
      </c>
      <c r="CG4" s="72">
        <f t="shared" ref="CG4:CQ4" si="18">CF4</f>
        <v>-23397.171200000004</v>
      </c>
      <c r="CH4" s="72">
        <f t="shared" si="18"/>
        <v>-23397.171200000004</v>
      </c>
      <c r="CI4" s="72">
        <f t="shared" si="18"/>
        <v>-23397.171200000004</v>
      </c>
      <c r="CJ4" s="72">
        <f t="shared" si="18"/>
        <v>-23397.171200000004</v>
      </c>
      <c r="CK4" s="72">
        <f t="shared" si="18"/>
        <v>-23397.171200000004</v>
      </c>
      <c r="CL4" s="72">
        <f t="shared" si="18"/>
        <v>-23397.171200000004</v>
      </c>
      <c r="CM4" s="72">
        <f t="shared" si="18"/>
        <v>-23397.171200000004</v>
      </c>
      <c r="CN4" s="72">
        <f t="shared" si="18"/>
        <v>-23397.171200000004</v>
      </c>
      <c r="CO4" s="72">
        <f t="shared" si="18"/>
        <v>-23397.171200000004</v>
      </c>
      <c r="CP4" s="72">
        <f t="shared" si="18"/>
        <v>-23397.171200000004</v>
      </c>
      <c r="CQ4" s="72">
        <f t="shared" si="18"/>
        <v>-23397.171200000004</v>
      </c>
      <c r="CR4" s="49">
        <f t="shared" ref="CR4:CR19" si="19">SUM(CF4:CQ4)</f>
        <v>-280766.05440000008</v>
      </c>
    </row>
    <row r="5" spans="1:96" ht="14.25" customHeight="1" x14ac:dyDescent="0.4">
      <c r="B5" t="s">
        <v>489</v>
      </c>
      <c r="C5" t="s">
        <v>490</v>
      </c>
      <c r="D5" s="89">
        <f t="shared" si="0"/>
        <v>-617886.96576000005</v>
      </c>
      <c r="E5" s="71"/>
      <c r="F5" s="38">
        <v>-4000</v>
      </c>
      <c r="G5" s="78">
        <f t="shared" ref="G5:Q5" si="20">F5</f>
        <v>-4000</v>
      </c>
      <c r="H5" s="78">
        <f t="shared" si="20"/>
        <v>-4000</v>
      </c>
      <c r="I5" s="78">
        <f t="shared" si="20"/>
        <v>-4000</v>
      </c>
      <c r="J5" s="78">
        <f t="shared" si="20"/>
        <v>-4000</v>
      </c>
      <c r="K5" s="78">
        <f t="shared" si="20"/>
        <v>-4000</v>
      </c>
      <c r="L5" s="78">
        <f t="shared" si="20"/>
        <v>-4000</v>
      </c>
      <c r="M5" s="78">
        <f t="shared" si="20"/>
        <v>-4000</v>
      </c>
      <c r="N5" s="78">
        <f t="shared" si="20"/>
        <v>-4000</v>
      </c>
      <c r="O5" s="78">
        <f t="shared" si="20"/>
        <v>-4000</v>
      </c>
      <c r="P5" s="78">
        <f t="shared" si="20"/>
        <v>-4000</v>
      </c>
      <c r="Q5" s="78">
        <f t="shared" si="20"/>
        <v>-4000</v>
      </c>
      <c r="R5" s="89">
        <f t="shared" si="2"/>
        <v>-48000</v>
      </c>
      <c r="S5" s="78">
        <f t="shared" si="3"/>
        <v>-4160</v>
      </c>
      <c r="T5" s="78">
        <f t="shared" ref="T5:AD5" si="21">S5</f>
        <v>-4160</v>
      </c>
      <c r="U5" s="78">
        <f t="shared" si="21"/>
        <v>-4160</v>
      </c>
      <c r="V5" s="78">
        <f t="shared" si="21"/>
        <v>-4160</v>
      </c>
      <c r="W5" s="78">
        <f t="shared" si="21"/>
        <v>-4160</v>
      </c>
      <c r="X5" s="78">
        <f t="shared" si="21"/>
        <v>-4160</v>
      </c>
      <c r="Y5" s="78">
        <f t="shared" si="21"/>
        <v>-4160</v>
      </c>
      <c r="Z5" s="78">
        <f t="shared" si="21"/>
        <v>-4160</v>
      </c>
      <c r="AA5" s="78">
        <f t="shared" si="21"/>
        <v>-4160</v>
      </c>
      <c r="AB5" s="78">
        <f t="shared" si="21"/>
        <v>-4160</v>
      </c>
      <c r="AC5" s="78">
        <f t="shared" si="21"/>
        <v>-4160</v>
      </c>
      <c r="AD5" s="78">
        <f t="shared" si="21"/>
        <v>-4160</v>
      </c>
      <c r="AE5" s="89">
        <f t="shared" si="5"/>
        <v>-49920</v>
      </c>
      <c r="AF5" s="78">
        <f t="shared" ref="AF5:AQ5" si="22">-8000</f>
        <v>-8000</v>
      </c>
      <c r="AG5" s="78">
        <f t="shared" si="22"/>
        <v>-8000</v>
      </c>
      <c r="AH5" s="78">
        <f t="shared" si="22"/>
        <v>-8000</v>
      </c>
      <c r="AI5" s="78">
        <f t="shared" si="22"/>
        <v>-8000</v>
      </c>
      <c r="AJ5" s="78">
        <f t="shared" si="22"/>
        <v>-8000</v>
      </c>
      <c r="AK5" s="78">
        <f t="shared" si="22"/>
        <v>-8000</v>
      </c>
      <c r="AL5" s="78">
        <f t="shared" si="22"/>
        <v>-8000</v>
      </c>
      <c r="AM5" s="78">
        <f t="shared" si="22"/>
        <v>-8000</v>
      </c>
      <c r="AN5" s="78">
        <f t="shared" si="22"/>
        <v>-8000</v>
      </c>
      <c r="AO5" s="78">
        <f t="shared" si="22"/>
        <v>-8000</v>
      </c>
      <c r="AP5" s="78">
        <f t="shared" si="22"/>
        <v>-8000</v>
      </c>
      <c r="AQ5" s="78">
        <f t="shared" si="22"/>
        <v>-8000</v>
      </c>
      <c r="AR5" s="89">
        <f t="shared" si="7"/>
        <v>-96000</v>
      </c>
      <c r="AS5" s="72">
        <f t="shared" si="8"/>
        <v>-8320</v>
      </c>
      <c r="AT5" s="72">
        <f t="shared" ref="AT5:BD5" si="23">AS5</f>
        <v>-8320</v>
      </c>
      <c r="AU5" s="72">
        <f t="shared" si="23"/>
        <v>-8320</v>
      </c>
      <c r="AV5" s="72">
        <f t="shared" si="23"/>
        <v>-8320</v>
      </c>
      <c r="AW5" s="72">
        <f t="shared" si="23"/>
        <v>-8320</v>
      </c>
      <c r="AX5" s="72">
        <f t="shared" si="23"/>
        <v>-8320</v>
      </c>
      <c r="AY5" s="72">
        <f t="shared" si="23"/>
        <v>-8320</v>
      </c>
      <c r="AZ5" s="72">
        <f t="shared" si="23"/>
        <v>-8320</v>
      </c>
      <c r="BA5" s="72">
        <f t="shared" si="23"/>
        <v>-8320</v>
      </c>
      <c r="BB5" s="72">
        <f t="shared" si="23"/>
        <v>-8320</v>
      </c>
      <c r="BC5" s="72">
        <f t="shared" si="23"/>
        <v>-8320</v>
      </c>
      <c r="BD5" s="72">
        <f t="shared" si="23"/>
        <v>-8320</v>
      </c>
      <c r="BE5" s="89">
        <f t="shared" si="10"/>
        <v>-99840</v>
      </c>
      <c r="BF5" s="72">
        <f t="shared" si="11"/>
        <v>-8652.8000000000011</v>
      </c>
      <c r="BG5" s="72">
        <f t="shared" ref="BG5:BQ5" si="24">BF5</f>
        <v>-8652.8000000000011</v>
      </c>
      <c r="BH5" s="72">
        <f t="shared" si="24"/>
        <v>-8652.8000000000011</v>
      </c>
      <c r="BI5" s="72">
        <f t="shared" si="24"/>
        <v>-8652.8000000000011</v>
      </c>
      <c r="BJ5" s="72">
        <f t="shared" si="24"/>
        <v>-8652.8000000000011</v>
      </c>
      <c r="BK5" s="72">
        <f t="shared" si="24"/>
        <v>-8652.8000000000011</v>
      </c>
      <c r="BL5" s="72">
        <f t="shared" si="24"/>
        <v>-8652.8000000000011</v>
      </c>
      <c r="BM5" s="72">
        <f t="shared" si="24"/>
        <v>-8652.8000000000011</v>
      </c>
      <c r="BN5" s="72">
        <f t="shared" si="24"/>
        <v>-8652.8000000000011</v>
      </c>
      <c r="BO5" s="72">
        <f t="shared" si="24"/>
        <v>-8652.8000000000011</v>
      </c>
      <c r="BP5" s="72">
        <f t="shared" si="24"/>
        <v>-8652.8000000000011</v>
      </c>
      <c r="BQ5" s="72">
        <f t="shared" si="24"/>
        <v>-8652.8000000000011</v>
      </c>
      <c r="BR5" s="89">
        <f t="shared" si="13"/>
        <v>-103833.60000000002</v>
      </c>
      <c r="BS5" s="72">
        <f t="shared" si="14"/>
        <v>-8998.9120000000021</v>
      </c>
      <c r="BT5" s="72">
        <f t="shared" ref="BT5:CD5" si="25">BS5</f>
        <v>-8998.9120000000021</v>
      </c>
      <c r="BU5" s="72">
        <f t="shared" si="25"/>
        <v>-8998.9120000000021</v>
      </c>
      <c r="BV5" s="72">
        <f t="shared" si="25"/>
        <v>-8998.9120000000021</v>
      </c>
      <c r="BW5" s="72">
        <f t="shared" si="25"/>
        <v>-8998.9120000000021</v>
      </c>
      <c r="BX5" s="72">
        <f t="shared" si="25"/>
        <v>-8998.9120000000021</v>
      </c>
      <c r="BY5" s="72">
        <f t="shared" si="25"/>
        <v>-8998.9120000000021</v>
      </c>
      <c r="BZ5" s="72">
        <f t="shared" si="25"/>
        <v>-8998.9120000000021</v>
      </c>
      <c r="CA5" s="72">
        <f t="shared" si="25"/>
        <v>-8998.9120000000021</v>
      </c>
      <c r="CB5" s="72">
        <f t="shared" si="25"/>
        <v>-8998.9120000000021</v>
      </c>
      <c r="CC5" s="72">
        <f t="shared" si="25"/>
        <v>-8998.9120000000021</v>
      </c>
      <c r="CD5" s="72">
        <f t="shared" si="25"/>
        <v>-8998.9120000000021</v>
      </c>
      <c r="CE5" s="89">
        <f t="shared" si="16"/>
        <v>-107986.944</v>
      </c>
      <c r="CF5" s="72">
        <f t="shared" si="17"/>
        <v>-9358.8684800000028</v>
      </c>
      <c r="CG5" s="72">
        <f t="shared" ref="CG5:CQ5" si="26">CF5</f>
        <v>-9358.8684800000028</v>
      </c>
      <c r="CH5" s="72">
        <f t="shared" si="26"/>
        <v>-9358.8684800000028</v>
      </c>
      <c r="CI5" s="72">
        <f t="shared" si="26"/>
        <v>-9358.8684800000028</v>
      </c>
      <c r="CJ5" s="72">
        <f t="shared" si="26"/>
        <v>-9358.8684800000028</v>
      </c>
      <c r="CK5" s="72">
        <f t="shared" si="26"/>
        <v>-9358.8684800000028</v>
      </c>
      <c r="CL5" s="72">
        <f t="shared" si="26"/>
        <v>-9358.8684800000028</v>
      </c>
      <c r="CM5" s="72">
        <f t="shared" si="26"/>
        <v>-9358.8684800000028</v>
      </c>
      <c r="CN5" s="72">
        <f t="shared" si="26"/>
        <v>-9358.8684800000028</v>
      </c>
      <c r="CO5" s="72">
        <f t="shared" si="26"/>
        <v>-9358.8684800000028</v>
      </c>
      <c r="CP5" s="72">
        <f t="shared" si="26"/>
        <v>-9358.8684800000028</v>
      </c>
      <c r="CQ5" s="72">
        <f t="shared" si="26"/>
        <v>-9358.8684800000028</v>
      </c>
      <c r="CR5" s="89">
        <f t="shared" si="19"/>
        <v>-112306.42176000004</v>
      </c>
    </row>
    <row r="6" spans="1:96" ht="14.25" customHeight="1" x14ac:dyDescent="0.4">
      <c r="B6" t="s">
        <v>491</v>
      </c>
      <c r="C6" t="s">
        <v>492</v>
      </c>
      <c r="D6" s="89">
        <f t="shared" si="0"/>
        <v>-1992096.768000003</v>
      </c>
      <c r="E6" s="71"/>
      <c r="F6" s="38">
        <v>-15000</v>
      </c>
      <c r="G6" s="38">
        <f t="shared" ref="G6:Q6" si="27">F6</f>
        <v>-15000</v>
      </c>
      <c r="H6" s="38">
        <f t="shared" si="27"/>
        <v>-15000</v>
      </c>
      <c r="I6" s="38">
        <f t="shared" si="27"/>
        <v>-15000</v>
      </c>
      <c r="J6" s="38">
        <f t="shared" si="27"/>
        <v>-15000</v>
      </c>
      <c r="K6" s="38">
        <f t="shared" si="27"/>
        <v>-15000</v>
      </c>
      <c r="L6" s="38">
        <f t="shared" si="27"/>
        <v>-15000</v>
      </c>
      <c r="M6" s="38">
        <f t="shared" si="27"/>
        <v>-15000</v>
      </c>
      <c r="N6" s="38">
        <f t="shared" si="27"/>
        <v>-15000</v>
      </c>
      <c r="O6" s="38">
        <f t="shared" si="27"/>
        <v>-15000</v>
      </c>
      <c r="P6" s="38">
        <f t="shared" si="27"/>
        <v>-15000</v>
      </c>
      <c r="Q6" s="38">
        <f t="shared" si="27"/>
        <v>-15000</v>
      </c>
      <c r="R6" s="89">
        <f t="shared" si="2"/>
        <v>-180000</v>
      </c>
      <c r="S6" s="78">
        <f t="shared" si="3"/>
        <v>-15600</v>
      </c>
      <c r="T6" s="78">
        <f t="shared" ref="T6:AD6" si="28">S6</f>
        <v>-15600</v>
      </c>
      <c r="U6" s="78">
        <f t="shared" si="28"/>
        <v>-15600</v>
      </c>
      <c r="V6" s="78">
        <f t="shared" si="28"/>
        <v>-15600</v>
      </c>
      <c r="W6" s="78">
        <f t="shared" si="28"/>
        <v>-15600</v>
      </c>
      <c r="X6" s="78">
        <f t="shared" si="28"/>
        <v>-15600</v>
      </c>
      <c r="Y6" s="78">
        <f t="shared" si="28"/>
        <v>-15600</v>
      </c>
      <c r="Z6" s="78">
        <f t="shared" si="28"/>
        <v>-15600</v>
      </c>
      <c r="AA6" s="78">
        <f t="shared" si="28"/>
        <v>-15600</v>
      </c>
      <c r="AB6" s="78">
        <f t="shared" si="28"/>
        <v>-15600</v>
      </c>
      <c r="AC6" s="78">
        <f t="shared" si="28"/>
        <v>-15600</v>
      </c>
      <c r="AD6" s="78">
        <f t="shared" si="28"/>
        <v>-15600</v>
      </c>
      <c r="AE6" s="89">
        <f t="shared" si="5"/>
        <v>-187200</v>
      </c>
      <c r="AF6" s="78">
        <v>-25000</v>
      </c>
      <c r="AG6" s="78">
        <f t="shared" ref="AG6:AQ6" si="29">AF6</f>
        <v>-25000</v>
      </c>
      <c r="AH6" s="78">
        <f t="shared" si="29"/>
        <v>-25000</v>
      </c>
      <c r="AI6" s="78">
        <f t="shared" si="29"/>
        <v>-25000</v>
      </c>
      <c r="AJ6" s="78">
        <f t="shared" si="29"/>
        <v>-25000</v>
      </c>
      <c r="AK6" s="78">
        <f t="shared" si="29"/>
        <v>-25000</v>
      </c>
      <c r="AL6" s="78">
        <f t="shared" si="29"/>
        <v>-25000</v>
      </c>
      <c r="AM6" s="78">
        <f t="shared" si="29"/>
        <v>-25000</v>
      </c>
      <c r="AN6" s="78">
        <f t="shared" si="29"/>
        <v>-25000</v>
      </c>
      <c r="AO6" s="78">
        <f t="shared" si="29"/>
        <v>-25000</v>
      </c>
      <c r="AP6" s="78">
        <f t="shared" si="29"/>
        <v>-25000</v>
      </c>
      <c r="AQ6" s="78">
        <f t="shared" si="29"/>
        <v>-25000</v>
      </c>
      <c r="AR6" s="89">
        <f t="shared" si="7"/>
        <v>-300000</v>
      </c>
      <c r="AS6" s="78">
        <f t="shared" si="8"/>
        <v>-26000</v>
      </c>
      <c r="AT6" s="78">
        <f t="shared" ref="AT6:BD6" si="30">AS6</f>
        <v>-26000</v>
      </c>
      <c r="AU6" s="78">
        <f t="shared" si="30"/>
        <v>-26000</v>
      </c>
      <c r="AV6" s="78">
        <f t="shared" si="30"/>
        <v>-26000</v>
      </c>
      <c r="AW6" s="78">
        <f t="shared" si="30"/>
        <v>-26000</v>
      </c>
      <c r="AX6" s="78">
        <f t="shared" si="30"/>
        <v>-26000</v>
      </c>
      <c r="AY6" s="78">
        <f t="shared" si="30"/>
        <v>-26000</v>
      </c>
      <c r="AZ6" s="78">
        <f t="shared" si="30"/>
        <v>-26000</v>
      </c>
      <c r="BA6" s="78">
        <f t="shared" si="30"/>
        <v>-26000</v>
      </c>
      <c r="BB6" s="78">
        <f t="shared" si="30"/>
        <v>-26000</v>
      </c>
      <c r="BC6" s="78">
        <f t="shared" si="30"/>
        <v>-26000</v>
      </c>
      <c r="BD6" s="78">
        <f t="shared" si="30"/>
        <v>-26000</v>
      </c>
      <c r="BE6" s="89">
        <f t="shared" si="10"/>
        <v>-312000</v>
      </c>
      <c r="BF6" s="78">
        <f t="shared" si="11"/>
        <v>-27040</v>
      </c>
      <c r="BG6" s="78">
        <f t="shared" ref="BG6:BQ6" si="31">BF6</f>
        <v>-27040</v>
      </c>
      <c r="BH6" s="78">
        <f t="shared" si="31"/>
        <v>-27040</v>
      </c>
      <c r="BI6" s="78">
        <f t="shared" si="31"/>
        <v>-27040</v>
      </c>
      <c r="BJ6" s="78">
        <f t="shared" si="31"/>
        <v>-27040</v>
      </c>
      <c r="BK6" s="78">
        <f t="shared" si="31"/>
        <v>-27040</v>
      </c>
      <c r="BL6" s="78">
        <f t="shared" si="31"/>
        <v>-27040</v>
      </c>
      <c r="BM6" s="78">
        <f t="shared" si="31"/>
        <v>-27040</v>
      </c>
      <c r="BN6" s="78">
        <f t="shared" si="31"/>
        <v>-27040</v>
      </c>
      <c r="BO6" s="78">
        <f t="shared" si="31"/>
        <v>-27040</v>
      </c>
      <c r="BP6" s="78">
        <f t="shared" si="31"/>
        <v>-27040</v>
      </c>
      <c r="BQ6" s="78">
        <f t="shared" si="31"/>
        <v>-27040</v>
      </c>
      <c r="BR6" s="89">
        <f t="shared" si="13"/>
        <v>-324480</v>
      </c>
      <c r="BS6" s="78">
        <f t="shared" si="14"/>
        <v>-28121.600000000002</v>
      </c>
      <c r="BT6" s="78">
        <f t="shared" ref="BT6:CD6" si="32">BS6</f>
        <v>-28121.600000000002</v>
      </c>
      <c r="BU6" s="78">
        <f t="shared" si="32"/>
        <v>-28121.600000000002</v>
      </c>
      <c r="BV6" s="78">
        <f t="shared" si="32"/>
        <v>-28121.600000000002</v>
      </c>
      <c r="BW6" s="78">
        <f t="shared" si="32"/>
        <v>-28121.600000000002</v>
      </c>
      <c r="BX6" s="78">
        <f t="shared" si="32"/>
        <v>-28121.600000000002</v>
      </c>
      <c r="BY6" s="78">
        <f t="shared" si="32"/>
        <v>-28121.600000000002</v>
      </c>
      <c r="BZ6" s="78">
        <f t="shared" si="32"/>
        <v>-28121.600000000002</v>
      </c>
      <c r="CA6" s="78">
        <f t="shared" si="32"/>
        <v>-28121.600000000002</v>
      </c>
      <c r="CB6" s="78">
        <f t="shared" si="32"/>
        <v>-28121.600000000002</v>
      </c>
      <c r="CC6" s="78">
        <f t="shared" si="32"/>
        <v>-28121.600000000002</v>
      </c>
      <c r="CD6" s="78">
        <f t="shared" si="32"/>
        <v>-28121.600000000002</v>
      </c>
      <c r="CE6" s="89">
        <f t="shared" si="16"/>
        <v>-337459.19999999995</v>
      </c>
      <c r="CF6" s="78">
        <f t="shared" si="17"/>
        <v>-29246.464000000004</v>
      </c>
      <c r="CG6" s="78">
        <f t="shared" ref="CG6:CQ6" si="33">CF6</f>
        <v>-29246.464000000004</v>
      </c>
      <c r="CH6" s="78">
        <f t="shared" si="33"/>
        <v>-29246.464000000004</v>
      </c>
      <c r="CI6" s="78">
        <f t="shared" si="33"/>
        <v>-29246.464000000004</v>
      </c>
      <c r="CJ6" s="78">
        <f t="shared" si="33"/>
        <v>-29246.464000000004</v>
      </c>
      <c r="CK6" s="78">
        <f t="shared" si="33"/>
        <v>-29246.464000000004</v>
      </c>
      <c r="CL6" s="78">
        <f t="shared" si="33"/>
        <v>-29246.464000000004</v>
      </c>
      <c r="CM6" s="78">
        <f t="shared" si="33"/>
        <v>-29246.464000000004</v>
      </c>
      <c r="CN6" s="78">
        <f t="shared" si="33"/>
        <v>-29246.464000000004</v>
      </c>
      <c r="CO6" s="78">
        <f t="shared" si="33"/>
        <v>-29246.464000000004</v>
      </c>
      <c r="CP6" s="78">
        <f t="shared" si="33"/>
        <v>-29246.464000000004</v>
      </c>
      <c r="CQ6" s="78">
        <f t="shared" si="33"/>
        <v>-29246.464000000004</v>
      </c>
      <c r="CR6" s="89">
        <f t="shared" si="19"/>
        <v>-350957.56799999997</v>
      </c>
    </row>
    <row r="7" spans="1:96" ht="14.25" customHeight="1" x14ac:dyDescent="0.4">
      <c r="B7" t="s">
        <v>493</v>
      </c>
      <c r="C7" t="s">
        <v>494</v>
      </c>
      <c r="D7" s="89">
        <f t="shared" si="0"/>
        <v>-710846.50328064105</v>
      </c>
      <c r="E7" s="71"/>
      <c r="F7" s="38">
        <v>-7500</v>
      </c>
      <c r="G7" s="38">
        <f t="shared" ref="G7:Q7" si="34">F7</f>
        <v>-7500</v>
      </c>
      <c r="H7" s="38">
        <f t="shared" si="34"/>
        <v>-7500</v>
      </c>
      <c r="I7" s="38">
        <f t="shared" si="34"/>
        <v>-7500</v>
      </c>
      <c r="J7" s="38">
        <f t="shared" si="34"/>
        <v>-7500</v>
      </c>
      <c r="K7" s="38">
        <f t="shared" si="34"/>
        <v>-7500</v>
      </c>
      <c r="L7" s="38">
        <f t="shared" si="34"/>
        <v>-7500</v>
      </c>
      <c r="M7" s="38">
        <f t="shared" si="34"/>
        <v>-7500</v>
      </c>
      <c r="N7" s="38">
        <f t="shared" si="34"/>
        <v>-7500</v>
      </c>
      <c r="O7" s="38">
        <f t="shared" si="34"/>
        <v>-7500</v>
      </c>
      <c r="P7" s="38">
        <f t="shared" si="34"/>
        <v>-7500</v>
      </c>
      <c r="Q7" s="38">
        <f t="shared" si="34"/>
        <v>-7500</v>
      </c>
      <c r="R7" s="89">
        <f t="shared" si="2"/>
        <v>-90000</v>
      </c>
      <c r="S7" s="78">
        <f t="shared" si="3"/>
        <v>-7800</v>
      </c>
      <c r="T7" s="78">
        <f t="shared" ref="T7:AD7" si="35">S7</f>
        <v>-7800</v>
      </c>
      <c r="U7" s="78">
        <f t="shared" si="35"/>
        <v>-7800</v>
      </c>
      <c r="V7" s="78">
        <f t="shared" si="35"/>
        <v>-7800</v>
      </c>
      <c r="W7" s="78">
        <f t="shared" si="35"/>
        <v>-7800</v>
      </c>
      <c r="X7" s="78">
        <f t="shared" si="35"/>
        <v>-7800</v>
      </c>
      <c r="Y7" s="78">
        <f t="shared" si="35"/>
        <v>-7800</v>
      </c>
      <c r="Z7" s="78">
        <f t="shared" si="35"/>
        <v>-7800</v>
      </c>
      <c r="AA7" s="78">
        <f t="shared" si="35"/>
        <v>-7800</v>
      </c>
      <c r="AB7" s="78">
        <f t="shared" si="35"/>
        <v>-7800</v>
      </c>
      <c r="AC7" s="78">
        <f t="shared" si="35"/>
        <v>-7800</v>
      </c>
      <c r="AD7" s="78">
        <f t="shared" si="35"/>
        <v>-7800</v>
      </c>
      <c r="AE7" s="89">
        <f t="shared" si="5"/>
        <v>-93600</v>
      </c>
      <c r="AF7" s="78">
        <f>AD7*$E$2</f>
        <v>-8112</v>
      </c>
      <c r="AG7" s="78">
        <f t="shared" ref="AG7:AQ7" si="36">AF7</f>
        <v>-8112</v>
      </c>
      <c r="AH7" s="78">
        <f t="shared" si="36"/>
        <v>-8112</v>
      </c>
      <c r="AI7" s="78">
        <f t="shared" si="36"/>
        <v>-8112</v>
      </c>
      <c r="AJ7" s="78">
        <f t="shared" si="36"/>
        <v>-8112</v>
      </c>
      <c r="AK7" s="78">
        <f t="shared" si="36"/>
        <v>-8112</v>
      </c>
      <c r="AL7" s="78">
        <f t="shared" si="36"/>
        <v>-8112</v>
      </c>
      <c r="AM7" s="78">
        <f t="shared" si="36"/>
        <v>-8112</v>
      </c>
      <c r="AN7" s="78">
        <f t="shared" si="36"/>
        <v>-8112</v>
      </c>
      <c r="AO7" s="78">
        <f t="shared" si="36"/>
        <v>-8112</v>
      </c>
      <c r="AP7" s="78">
        <f t="shared" si="36"/>
        <v>-8112</v>
      </c>
      <c r="AQ7" s="78">
        <f t="shared" si="36"/>
        <v>-8112</v>
      </c>
      <c r="AR7" s="89">
        <f t="shared" si="7"/>
        <v>-97344</v>
      </c>
      <c r="AS7" s="78">
        <f t="shared" si="8"/>
        <v>-8436.48</v>
      </c>
      <c r="AT7" s="78">
        <f t="shared" ref="AT7:BD7" si="37">AS7</f>
        <v>-8436.48</v>
      </c>
      <c r="AU7" s="78">
        <f t="shared" si="37"/>
        <v>-8436.48</v>
      </c>
      <c r="AV7" s="78">
        <f t="shared" si="37"/>
        <v>-8436.48</v>
      </c>
      <c r="AW7" s="78">
        <f t="shared" si="37"/>
        <v>-8436.48</v>
      </c>
      <c r="AX7" s="78">
        <f t="shared" si="37"/>
        <v>-8436.48</v>
      </c>
      <c r="AY7" s="78">
        <f t="shared" si="37"/>
        <v>-8436.48</v>
      </c>
      <c r="AZ7" s="78">
        <f t="shared" si="37"/>
        <v>-8436.48</v>
      </c>
      <c r="BA7" s="78">
        <f t="shared" si="37"/>
        <v>-8436.48</v>
      </c>
      <c r="BB7" s="78">
        <f t="shared" si="37"/>
        <v>-8436.48</v>
      </c>
      <c r="BC7" s="78">
        <f t="shared" si="37"/>
        <v>-8436.48</v>
      </c>
      <c r="BD7" s="78">
        <f t="shared" si="37"/>
        <v>-8436.48</v>
      </c>
      <c r="BE7" s="89">
        <f t="shared" si="10"/>
        <v>-101237.75999999997</v>
      </c>
      <c r="BF7" s="78">
        <f t="shared" si="11"/>
        <v>-8773.9392000000007</v>
      </c>
      <c r="BG7" s="78">
        <f t="shared" ref="BG7:BQ7" si="38">BF7</f>
        <v>-8773.9392000000007</v>
      </c>
      <c r="BH7" s="78">
        <f t="shared" si="38"/>
        <v>-8773.9392000000007</v>
      </c>
      <c r="BI7" s="78">
        <f t="shared" si="38"/>
        <v>-8773.9392000000007</v>
      </c>
      <c r="BJ7" s="78">
        <f t="shared" si="38"/>
        <v>-8773.9392000000007</v>
      </c>
      <c r="BK7" s="78">
        <f t="shared" si="38"/>
        <v>-8773.9392000000007</v>
      </c>
      <c r="BL7" s="78">
        <f t="shared" si="38"/>
        <v>-8773.9392000000007</v>
      </c>
      <c r="BM7" s="78">
        <f t="shared" si="38"/>
        <v>-8773.9392000000007</v>
      </c>
      <c r="BN7" s="78">
        <f t="shared" si="38"/>
        <v>-8773.9392000000007</v>
      </c>
      <c r="BO7" s="78">
        <f t="shared" si="38"/>
        <v>-8773.9392000000007</v>
      </c>
      <c r="BP7" s="78">
        <f t="shared" si="38"/>
        <v>-8773.9392000000007</v>
      </c>
      <c r="BQ7" s="78">
        <f t="shared" si="38"/>
        <v>-8773.9392000000007</v>
      </c>
      <c r="BR7" s="89">
        <f t="shared" si="13"/>
        <v>-105287.27039999998</v>
      </c>
      <c r="BS7" s="78">
        <f t="shared" si="14"/>
        <v>-9124.8967680000005</v>
      </c>
      <c r="BT7" s="78">
        <f t="shared" ref="BT7:CD7" si="39">BS7</f>
        <v>-9124.8967680000005</v>
      </c>
      <c r="BU7" s="78">
        <f t="shared" si="39"/>
        <v>-9124.8967680000005</v>
      </c>
      <c r="BV7" s="78">
        <f t="shared" si="39"/>
        <v>-9124.8967680000005</v>
      </c>
      <c r="BW7" s="78">
        <f t="shared" si="39"/>
        <v>-9124.8967680000005</v>
      </c>
      <c r="BX7" s="78">
        <f t="shared" si="39"/>
        <v>-9124.8967680000005</v>
      </c>
      <c r="BY7" s="78">
        <f t="shared" si="39"/>
        <v>-9124.8967680000005</v>
      </c>
      <c r="BZ7" s="78">
        <f t="shared" si="39"/>
        <v>-9124.8967680000005</v>
      </c>
      <c r="CA7" s="78">
        <f t="shared" si="39"/>
        <v>-9124.8967680000005</v>
      </c>
      <c r="CB7" s="78">
        <f t="shared" si="39"/>
        <v>-9124.8967680000005</v>
      </c>
      <c r="CC7" s="78">
        <f t="shared" si="39"/>
        <v>-9124.8967680000005</v>
      </c>
      <c r="CD7" s="78">
        <f t="shared" si="39"/>
        <v>-9124.8967680000005</v>
      </c>
      <c r="CE7" s="89">
        <f t="shared" si="16"/>
        <v>-109498.76121600003</v>
      </c>
      <c r="CF7" s="78">
        <f t="shared" si="17"/>
        <v>-9489.8926387200008</v>
      </c>
      <c r="CG7" s="78">
        <f t="shared" ref="CG7:CQ7" si="40">CF7</f>
        <v>-9489.8926387200008</v>
      </c>
      <c r="CH7" s="78">
        <f t="shared" si="40"/>
        <v>-9489.8926387200008</v>
      </c>
      <c r="CI7" s="78">
        <f t="shared" si="40"/>
        <v>-9489.8926387200008</v>
      </c>
      <c r="CJ7" s="78">
        <f t="shared" si="40"/>
        <v>-9489.8926387200008</v>
      </c>
      <c r="CK7" s="78">
        <f t="shared" si="40"/>
        <v>-9489.8926387200008</v>
      </c>
      <c r="CL7" s="78">
        <f t="shared" si="40"/>
        <v>-9489.8926387200008</v>
      </c>
      <c r="CM7" s="78">
        <f t="shared" si="40"/>
        <v>-9489.8926387200008</v>
      </c>
      <c r="CN7" s="78">
        <f t="shared" si="40"/>
        <v>-9489.8926387200008</v>
      </c>
      <c r="CO7" s="78">
        <f t="shared" si="40"/>
        <v>-9489.8926387200008</v>
      </c>
      <c r="CP7" s="78">
        <f t="shared" si="40"/>
        <v>-9489.8926387200008</v>
      </c>
      <c r="CQ7" s="78">
        <f t="shared" si="40"/>
        <v>-9489.8926387200008</v>
      </c>
      <c r="CR7" s="89">
        <f t="shared" si="19"/>
        <v>-113878.71166464004</v>
      </c>
    </row>
    <row r="8" spans="1:96" ht="14.25" customHeight="1" x14ac:dyDescent="0.4">
      <c r="B8" t="s">
        <v>495</v>
      </c>
      <c r="C8" t="s">
        <v>496</v>
      </c>
      <c r="D8" s="89">
        <f t="shared" si="0"/>
        <v>-1632992.9002982373</v>
      </c>
      <c r="E8" s="71"/>
      <c r="F8" s="38">
        <v>-15000</v>
      </c>
      <c r="G8" s="38">
        <f t="shared" ref="G8:Q8" si="41">F8</f>
        <v>-15000</v>
      </c>
      <c r="H8" s="38">
        <f t="shared" si="41"/>
        <v>-15000</v>
      </c>
      <c r="I8" s="38">
        <f t="shared" si="41"/>
        <v>-15000</v>
      </c>
      <c r="J8" s="38">
        <f t="shared" si="41"/>
        <v>-15000</v>
      </c>
      <c r="K8" s="38">
        <f t="shared" si="41"/>
        <v>-15000</v>
      </c>
      <c r="L8" s="38">
        <f t="shared" si="41"/>
        <v>-15000</v>
      </c>
      <c r="M8" s="38">
        <f t="shared" si="41"/>
        <v>-15000</v>
      </c>
      <c r="N8" s="38">
        <f t="shared" si="41"/>
        <v>-15000</v>
      </c>
      <c r="O8" s="38">
        <f t="shared" si="41"/>
        <v>-15000</v>
      </c>
      <c r="P8" s="38">
        <f t="shared" si="41"/>
        <v>-15000</v>
      </c>
      <c r="Q8" s="38">
        <f t="shared" si="41"/>
        <v>-15000</v>
      </c>
      <c r="R8" s="89">
        <f t="shared" si="2"/>
        <v>-180000</v>
      </c>
      <c r="S8" s="78">
        <f t="shared" si="3"/>
        <v>-15600</v>
      </c>
      <c r="T8" s="78">
        <f t="shared" ref="T8:AD8" si="42">S8</f>
        <v>-15600</v>
      </c>
      <c r="U8" s="78">
        <f t="shared" si="42"/>
        <v>-15600</v>
      </c>
      <c r="V8" s="78">
        <f t="shared" si="42"/>
        <v>-15600</v>
      </c>
      <c r="W8" s="78">
        <f t="shared" si="42"/>
        <v>-15600</v>
      </c>
      <c r="X8" s="78">
        <f t="shared" si="42"/>
        <v>-15600</v>
      </c>
      <c r="Y8" s="78">
        <f t="shared" si="42"/>
        <v>-15600</v>
      </c>
      <c r="Z8" s="78">
        <f t="shared" si="42"/>
        <v>-15600</v>
      </c>
      <c r="AA8" s="78">
        <f t="shared" si="42"/>
        <v>-15600</v>
      </c>
      <c r="AB8" s="78">
        <f t="shared" si="42"/>
        <v>-15600</v>
      </c>
      <c r="AC8" s="78">
        <f t="shared" si="42"/>
        <v>-15600</v>
      </c>
      <c r="AD8" s="78">
        <f t="shared" si="42"/>
        <v>-15600</v>
      </c>
      <c r="AE8" s="89">
        <f t="shared" si="5"/>
        <v>-187200</v>
      </c>
      <c r="AF8" s="78">
        <v>-17500</v>
      </c>
      <c r="AG8" s="78">
        <f t="shared" ref="AG8:AQ8" si="43">AF8</f>
        <v>-17500</v>
      </c>
      <c r="AH8" s="78">
        <f t="shared" si="43"/>
        <v>-17500</v>
      </c>
      <c r="AI8" s="78">
        <f t="shared" si="43"/>
        <v>-17500</v>
      </c>
      <c r="AJ8" s="78">
        <f t="shared" si="43"/>
        <v>-17500</v>
      </c>
      <c r="AK8" s="78">
        <f t="shared" si="43"/>
        <v>-17500</v>
      </c>
      <c r="AL8" s="78">
        <f t="shared" si="43"/>
        <v>-17500</v>
      </c>
      <c r="AM8" s="78">
        <f t="shared" si="43"/>
        <v>-17500</v>
      </c>
      <c r="AN8" s="78">
        <f t="shared" si="43"/>
        <v>-17500</v>
      </c>
      <c r="AO8" s="78">
        <f t="shared" si="43"/>
        <v>-17500</v>
      </c>
      <c r="AP8" s="78">
        <f t="shared" si="43"/>
        <v>-17500</v>
      </c>
      <c r="AQ8" s="78">
        <f t="shared" si="43"/>
        <v>-17500</v>
      </c>
      <c r="AR8" s="89">
        <f t="shared" si="7"/>
        <v>-210000</v>
      </c>
      <c r="AS8" s="78">
        <f t="shared" si="8"/>
        <v>-18200</v>
      </c>
      <c r="AT8" s="78">
        <f t="shared" ref="AT8:BD8" si="44">AS8</f>
        <v>-18200</v>
      </c>
      <c r="AU8" s="78">
        <f t="shared" si="44"/>
        <v>-18200</v>
      </c>
      <c r="AV8" s="78">
        <f t="shared" si="44"/>
        <v>-18200</v>
      </c>
      <c r="AW8" s="78">
        <f t="shared" si="44"/>
        <v>-18200</v>
      </c>
      <c r="AX8" s="78">
        <f t="shared" si="44"/>
        <v>-18200</v>
      </c>
      <c r="AY8" s="78">
        <f t="shared" si="44"/>
        <v>-18200</v>
      </c>
      <c r="AZ8" s="78">
        <f t="shared" si="44"/>
        <v>-18200</v>
      </c>
      <c r="BA8" s="78">
        <f t="shared" si="44"/>
        <v>-18200</v>
      </c>
      <c r="BB8" s="78">
        <f t="shared" si="44"/>
        <v>-18200</v>
      </c>
      <c r="BC8" s="78">
        <f t="shared" si="44"/>
        <v>-18200</v>
      </c>
      <c r="BD8" s="78">
        <f t="shared" si="44"/>
        <v>-18200</v>
      </c>
      <c r="BE8" s="89">
        <f t="shared" si="10"/>
        <v>-218400</v>
      </c>
      <c r="BF8" s="78">
        <f t="shared" si="11"/>
        <v>-18928</v>
      </c>
      <c r="BG8" s="78">
        <f t="shared" ref="BG8:BG12" si="45">BF8</f>
        <v>-18928</v>
      </c>
      <c r="BH8" s="78">
        <f>BF8*$E$2</f>
        <v>-19685.12</v>
      </c>
      <c r="BI8" s="78">
        <f>BH8</f>
        <v>-19685.12</v>
      </c>
      <c r="BJ8" s="78">
        <f>BH8*$E$2</f>
        <v>-20472.524799999999</v>
      </c>
      <c r="BK8" s="78">
        <f>BJ8</f>
        <v>-20472.524799999999</v>
      </c>
      <c r="BL8" s="78">
        <f>BJ8*$E$2</f>
        <v>-21291.425791999998</v>
      </c>
      <c r="BM8" s="78">
        <f>BL8</f>
        <v>-21291.425791999998</v>
      </c>
      <c r="BN8" s="78">
        <f>BL8*$E$2</f>
        <v>-22143.082823679997</v>
      </c>
      <c r="BO8" s="78">
        <f>BN8</f>
        <v>-22143.082823679997</v>
      </c>
      <c r="BP8" s="78">
        <f>BN8*$E$2</f>
        <v>-23028.806136627198</v>
      </c>
      <c r="BQ8" s="78">
        <f>BP8</f>
        <v>-23028.806136627198</v>
      </c>
      <c r="BR8" s="89">
        <f t="shared" si="13"/>
        <v>-251097.91910461432</v>
      </c>
      <c r="BS8" s="78">
        <f t="shared" si="14"/>
        <v>-23949.958382092285</v>
      </c>
      <c r="BT8" s="72">
        <f t="shared" ref="BT8:CD8" si="46">BS8</f>
        <v>-23949.958382092285</v>
      </c>
      <c r="BU8" s="72">
        <f t="shared" si="46"/>
        <v>-23949.958382092285</v>
      </c>
      <c r="BV8" s="72">
        <f t="shared" si="46"/>
        <v>-23949.958382092285</v>
      </c>
      <c r="BW8" s="72">
        <f t="shared" si="46"/>
        <v>-23949.958382092285</v>
      </c>
      <c r="BX8" s="72">
        <f t="shared" si="46"/>
        <v>-23949.958382092285</v>
      </c>
      <c r="BY8" s="72">
        <f t="shared" si="46"/>
        <v>-23949.958382092285</v>
      </c>
      <c r="BZ8" s="72">
        <f t="shared" si="46"/>
        <v>-23949.958382092285</v>
      </c>
      <c r="CA8" s="72">
        <f t="shared" si="46"/>
        <v>-23949.958382092285</v>
      </c>
      <c r="CB8" s="72">
        <f t="shared" si="46"/>
        <v>-23949.958382092285</v>
      </c>
      <c r="CC8" s="72">
        <f t="shared" si="46"/>
        <v>-23949.958382092285</v>
      </c>
      <c r="CD8" s="72">
        <f t="shared" si="46"/>
        <v>-23949.958382092285</v>
      </c>
      <c r="CE8" s="89">
        <f t="shared" si="16"/>
        <v>-287399.50058510748</v>
      </c>
      <c r="CF8" s="78">
        <f t="shared" si="17"/>
        <v>-24907.956717375979</v>
      </c>
      <c r="CG8" s="78">
        <f t="shared" ref="CG8:CQ8" si="47">CF8</f>
        <v>-24907.956717375979</v>
      </c>
      <c r="CH8" s="78">
        <f t="shared" si="47"/>
        <v>-24907.956717375979</v>
      </c>
      <c r="CI8" s="78">
        <f t="shared" si="47"/>
        <v>-24907.956717375979</v>
      </c>
      <c r="CJ8" s="78">
        <f t="shared" si="47"/>
        <v>-24907.956717375979</v>
      </c>
      <c r="CK8" s="78">
        <f t="shared" si="47"/>
        <v>-24907.956717375979</v>
      </c>
      <c r="CL8" s="78">
        <f t="shared" si="47"/>
        <v>-24907.956717375979</v>
      </c>
      <c r="CM8" s="78">
        <f t="shared" si="47"/>
        <v>-24907.956717375979</v>
      </c>
      <c r="CN8" s="78">
        <f t="shared" si="47"/>
        <v>-24907.956717375979</v>
      </c>
      <c r="CO8" s="78">
        <f t="shared" si="47"/>
        <v>-24907.956717375979</v>
      </c>
      <c r="CP8" s="78">
        <f t="shared" si="47"/>
        <v>-24907.956717375979</v>
      </c>
      <c r="CQ8" s="78">
        <f t="shared" si="47"/>
        <v>-24907.956717375979</v>
      </c>
      <c r="CR8" s="89">
        <f t="shared" si="19"/>
        <v>-298895.48060851177</v>
      </c>
    </row>
    <row r="9" spans="1:96" ht="14.25" customHeight="1" x14ac:dyDescent="0.4">
      <c r="B9" t="s">
        <v>497</v>
      </c>
      <c r="C9" t="s">
        <v>498</v>
      </c>
      <c r="D9" s="89">
        <f t="shared" si="0"/>
        <v>-473897.66885376035</v>
      </c>
      <c r="E9" s="71"/>
      <c r="F9" s="38">
        <v>-5000</v>
      </c>
      <c r="G9" s="38">
        <f t="shared" ref="G9:Q9" si="48">F9</f>
        <v>-5000</v>
      </c>
      <c r="H9" s="38">
        <f t="shared" si="48"/>
        <v>-5000</v>
      </c>
      <c r="I9" s="38">
        <f t="shared" si="48"/>
        <v>-5000</v>
      </c>
      <c r="J9" s="38">
        <f t="shared" si="48"/>
        <v>-5000</v>
      </c>
      <c r="K9" s="38">
        <f t="shared" si="48"/>
        <v>-5000</v>
      </c>
      <c r="L9" s="38">
        <f t="shared" si="48"/>
        <v>-5000</v>
      </c>
      <c r="M9" s="38">
        <f t="shared" si="48"/>
        <v>-5000</v>
      </c>
      <c r="N9" s="38">
        <f t="shared" si="48"/>
        <v>-5000</v>
      </c>
      <c r="O9" s="38">
        <f t="shared" si="48"/>
        <v>-5000</v>
      </c>
      <c r="P9" s="38">
        <f t="shared" si="48"/>
        <v>-5000</v>
      </c>
      <c r="Q9" s="38">
        <f t="shared" si="48"/>
        <v>-5000</v>
      </c>
      <c r="R9" s="89">
        <f t="shared" si="2"/>
        <v>-60000</v>
      </c>
      <c r="S9" s="78">
        <f t="shared" si="3"/>
        <v>-5200</v>
      </c>
      <c r="T9" s="78">
        <f t="shared" ref="T9:AD9" si="49">S9</f>
        <v>-5200</v>
      </c>
      <c r="U9" s="78">
        <f t="shared" si="49"/>
        <v>-5200</v>
      </c>
      <c r="V9" s="78">
        <f t="shared" si="49"/>
        <v>-5200</v>
      </c>
      <c r="W9" s="78">
        <f t="shared" si="49"/>
        <v>-5200</v>
      </c>
      <c r="X9" s="78">
        <f t="shared" si="49"/>
        <v>-5200</v>
      </c>
      <c r="Y9" s="78">
        <f t="shared" si="49"/>
        <v>-5200</v>
      </c>
      <c r="Z9" s="78">
        <f t="shared" si="49"/>
        <v>-5200</v>
      </c>
      <c r="AA9" s="78">
        <f t="shared" si="49"/>
        <v>-5200</v>
      </c>
      <c r="AB9" s="78">
        <f t="shared" si="49"/>
        <v>-5200</v>
      </c>
      <c r="AC9" s="78">
        <f t="shared" si="49"/>
        <v>-5200</v>
      </c>
      <c r="AD9" s="78">
        <f t="shared" si="49"/>
        <v>-5200</v>
      </c>
      <c r="AE9" s="89">
        <f t="shared" si="5"/>
        <v>-62400</v>
      </c>
      <c r="AF9" s="78">
        <f>AD9*$E$2</f>
        <v>-5408</v>
      </c>
      <c r="AG9" s="78">
        <f t="shared" ref="AG9:AQ9" si="50">AF9</f>
        <v>-5408</v>
      </c>
      <c r="AH9" s="78">
        <f t="shared" si="50"/>
        <v>-5408</v>
      </c>
      <c r="AI9" s="78">
        <f t="shared" si="50"/>
        <v>-5408</v>
      </c>
      <c r="AJ9" s="78">
        <f t="shared" si="50"/>
        <v>-5408</v>
      </c>
      <c r="AK9" s="78">
        <f t="shared" si="50"/>
        <v>-5408</v>
      </c>
      <c r="AL9" s="78">
        <f t="shared" si="50"/>
        <v>-5408</v>
      </c>
      <c r="AM9" s="78">
        <f t="shared" si="50"/>
        <v>-5408</v>
      </c>
      <c r="AN9" s="78">
        <f t="shared" si="50"/>
        <v>-5408</v>
      </c>
      <c r="AO9" s="78">
        <f t="shared" si="50"/>
        <v>-5408</v>
      </c>
      <c r="AP9" s="78">
        <f t="shared" si="50"/>
        <v>-5408</v>
      </c>
      <c r="AQ9" s="78">
        <f t="shared" si="50"/>
        <v>-5408</v>
      </c>
      <c r="AR9" s="89">
        <f t="shared" si="7"/>
        <v>-64896</v>
      </c>
      <c r="AS9" s="78">
        <f t="shared" si="8"/>
        <v>-5624.3200000000006</v>
      </c>
      <c r="AT9" s="78">
        <f t="shared" ref="AT9:BD9" si="51">AS9</f>
        <v>-5624.3200000000006</v>
      </c>
      <c r="AU9" s="78">
        <f t="shared" si="51"/>
        <v>-5624.3200000000006</v>
      </c>
      <c r="AV9" s="78">
        <f t="shared" si="51"/>
        <v>-5624.3200000000006</v>
      </c>
      <c r="AW9" s="78">
        <f t="shared" si="51"/>
        <v>-5624.3200000000006</v>
      </c>
      <c r="AX9" s="78">
        <f t="shared" si="51"/>
        <v>-5624.3200000000006</v>
      </c>
      <c r="AY9" s="78">
        <f t="shared" si="51"/>
        <v>-5624.3200000000006</v>
      </c>
      <c r="AZ9" s="78">
        <f t="shared" si="51"/>
        <v>-5624.3200000000006</v>
      </c>
      <c r="BA9" s="78">
        <f t="shared" si="51"/>
        <v>-5624.3200000000006</v>
      </c>
      <c r="BB9" s="78">
        <f t="shared" si="51"/>
        <v>-5624.3200000000006</v>
      </c>
      <c r="BC9" s="78">
        <f t="shared" si="51"/>
        <v>-5624.3200000000006</v>
      </c>
      <c r="BD9" s="78">
        <f t="shared" si="51"/>
        <v>-5624.3200000000006</v>
      </c>
      <c r="BE9" s="89">
        <f t="shared" si="10"/>
        <v>-67491.840000000011</v>
      </c>
      <c r="BF9" s="78">
        <f t="shared" si="11"/>
        <v>-5849.2928000000011</v>
      </c>
      <c r="BG9" s="78">
        <f t="shared" si="45"/>
        <v>-5849.2928000000011</v>
      </c>
      <c r="BH9" s="78">
        <f t="shared" ref="BH9:BQ9" si="52">BG9</f>
        <v>-5849.2928000000011</v>
      </c>
      <c r="BI9" s="78">
        <f t="shared" si="52"/>
        <v>-5849.2928000000011</v>
      </c>
      <c r="BJ9" s="78">
        <f t="shared" si="52"/>
        <v>-5849.2928000000011</v>
      </c>
      <c r="BK9" s="78">
        <f t="shared" si="52"/>
        <v>-5849.2928000000011</v>
      </c>
      <c r="BL9" s="78">
        <f t="shared" si="52"/>
        <v>-5849.2928000000011</v>
      </c>
      <c r="BM9" s="78">
        <f t="shared" si="52"/>
        <v>-5849.2928000000011</v>
      </c>
      <c r="BN9" s="78">
        <f t="shared" si="52"/>
        <v>-5849.2928000000011</v>
      </c>
      <c r="BO9" s="78">
        <f t="shared" si="52"/>
        <v>-5849.2928000000011</v>
      </c>
      <c r="BP9" s="78">
        <f t="shared" si="52"/>
        <v>-5849.2928000000011</v>
      </c>
      <c r="BQ9" s="78">
        <f t="shared" si="52"/>
        <v>-5849.2928000000011</v>
      </c>
      <c r="BR9" s="89">
        <f t="shared" si="13"/>
        <v>-70191.51360000002</v>
      </c>
      <c r="BS9" s="78">
        <f t="shared" si="14"/>
        <v>-6083.2645120000016</v>
      </c>
      <c r="BT9" s="78">
        <f t="shared" ref="BT9:CD9" si="53">BS9</f>
        <v>-6083.2645120000016</v>
      </c>
      <c r="BU9" s="78">
        <f t="shared" si="53"/>
        <v>-6083.2645120000016</v>
      </c>
      <c r="BV9" s="78">
        <f t="shared" si="53"/>
        <v>-6083.2645120000016</v>
      </c>
      <c r="BW9" s="78">
        <f t="shared" si="53"/>
        <v>-6083.2645120000016</v>
      </c>
      <c r="BX9" s="78">
        <f t="shared" si="53"/>
        <v>-6083.2645120000016</v>
      </c>
      <c r="BY9" s="78">
        <f t="shared" si="53"/>
        <v>-6083.2645120000016</v>
      </c>
      <c r="BZ9" s="78">
        <f t="shared" si="53"/>
        <v>-6083.2645120000016</v>
      </c>
      <c r="CA9" s="78">
        <f t="shared" si="53"/>
        <v>-6083.2645120000016</v>
      </c>
      <c r="CB9" s="78">
        <f t="shared" si="53"/>
        <v>-6083.2645120000016</v>
      </c>
      <c r="CC9" s="78">
        <f t="shared" si="53"/>
        <v>-6083.2645120000016</v>
      </c>
      <c r="CD9" s="78">
        <f t="shared" si="53"/>
        <v>-6083.2645120000016</v>
      </c>
      <c r="CE9" s="89">
        <f t="shared" si="16"/>
        <v>-72999.174144000019</v>
      </c>
      <c r="CF9" s="78">
        <f t="shared" si="17"/>
        <v>-6326.5950924800018</v>
      </c>
      <c r="CG9" s="78">
        <f t="shared" ref="CG9:CQ9" si="54">CF9</f>
        <v>-6326.5950924800018</v>
      </c>
      <c r="CH9" s="78">
        <f t="shared" si="54"/>
        <v>-6326.5950924800018</v>
      </c>
      <c r="CI9" s="78">
        <f t="shared" si="54"/>
        <v>-6326.5950924800018</v>
      </c>
      <c r="CJ9" s="78">
        <f t="shared" si="54"/>
        <v>-6326.5950924800018</v>
      </c>
      <c r="CK9" s="78">
        <f t="shared" si="54"/>
        <v>-6326.5950924800018</v>
      </c>
      <c r="CL9" s="78">
        <f t="shared" si="54"/>
        <v>-6326.5950924800018</v>
      </c>
      <c r="CM9" s="78">
        <f t="shared" si="54"/>
        <v>-6326.5950924800018</v>
      </c>
      <c r="CN9" s="78">
        <f t="shared" si="54"/>
        <v>-6326.5950924800018</v>
      </c>
      <c r="CO9" s="78">
        <f t="shared" si="54"/>
        <v>-6326.5950924800018</v>
      </c>
      <c r="CP9" s="78">
        <f t="shared" si="54"/>
        <v>-6326.5950924800018</v>
      </c>
      <c r="CQ9" s="78">
        <f t="shared" si="54"/>
        <v>-6326.5950924800018</v>
      </c>
      <c r="CR9" s="89">
        <f t="shared" si="19"/>
        <v>-75919.141109760007</v>
      </c>
    </row>
    <row r="10" spans="1:96" ht="14.25" customHeight="1" x14ac:dyDescent="0.4">
      <c r="B10" t="s">
        <v>499</v>
      </c>
      <c r="D10" s="89">
        <f t="shared" si="0"/>
        <v>-1767719.0753720023</v>
      </c>
      <c r="E10" s="71"/>
      <c r="F10" s="38">
        <f>SUM(F4:F9)*0.25</f>
        <v>-15375</v>
      </c>
      <c r="G10" s="38">
        <f t="shared" ref="G10:Q10" si="55">F10</f>
        <v>-15375</v>
      </c>
      <c r="H10" s="38">
        <f t="shared" si="55"/>
        <v>-15375</v>
      </c>
      <c r="I10" s="38">
        <f t="shared" si="55"/>
        <v>-15375</v>
      </c>
      <c r="J10" s="38">
        <f t="shared" si="55"/>
        <v>-15375</v>
      </c>
      <c r="K10" s="38">
        <f t="shared" si="55"/>
        <v>-15375</v>
      </c>
      <c r="L10" s="38">
        <f t="shared" si="55"/>
        <v>-15375</v>
      </c>
      <c r="M10" s="38">
        <f t="shared" si="55"/>
        <v>-15375</v>
      </c>
      <c r="N10" s="38">
        <f t="shared" si="55"/>
        <v>-15375</v>
      </c>
      <c r="O10" s="38">
        <f t="shared" si="55"/>
        <v>-15375</v>
      </c>
      <c r="P10" s="38">
        <f t="shared" si="55"/>
        <v>-15375</v>
      </c>
      <c r="Q10" s="38">
        <f t="shared" si="55"/>
        <v>-15375</v>
      </c>
      <c r="R10" s="89">
        <f t="shared" si="2"/>
        <v>-184500</v>
      </c>
      <c r="S10" s="78">
        <f t="shared" si="3"/>
        <v>-15990</v>
      </c>
      <c r="T10" s="78">
        <f t="shared" ref="T10:AD10" si="56">S10</f>
        <v>-15990</v>
      </c>
      <c r="U10" s="78">
        <f t="shared" si="56"/>
        <v>-15990</v>
      </c>
      <c r="V10" s="78">
        <f t="shared" si="56"/>
        <v>-15990</v>
      </c>
      <c r="W10" s="78">
        <f t="shared" si="56"/>
        <v>-15990</v>
      </c>
      <c r="X10" s="78">
        <f t="shared" si="56"/>
        <v>-15990</v>
      </c>
      <c r="Y10" s="78">
        <f t="shared" si="56"/>
        <v>-15990</v>
      </c>
      <c r="Z10" s="78">
        <f t="shared" si="56"/>
        <v>-15990</v>
      </c>
      <c r="AA10" s="78">
        <f t="shared" si="56"/>
        <v>-15990</v>
      </c>
      <c r="AB10" s="78">
        <f t="shared" si="56"/>
        <v>-15990</v>
      </c>
      <c r="AC10" s="78">
        <f t="shared" si="56"/>
        <v>-15990</v>
      </c>
      <c r="AD10" s="78">
        <f t="shared" si="56"/>
        <v>-15990</v>
      </c>
      <c r="AE10" s="89">
        <f t="shared" si="5"/>
        <v>-191880</v>
      </c>
      <c r="AF10" s="78">
        <f t="array" ref="AF10">SUM(AF4:AF9*0.25)</f>
        <v>-21005</v>
      </c>
      <c r="AG10" s="78">
        <f t="shared" ref="AG10:AQ10" si="57">AF10</f>
        <v>-21005</v>
      </c>
      <c r="AH10" s="78">
        <f t="shared" si="57"/>
        <v>-21005</v>
      </c>
      <c r="AI10" s="78">
        <f t="shared" si="57"/>
        <v>-21005</v>
      </c>
      <c r="AJ10" s="78">
        <f t="shared" si="57"/>
        <v>-21005</v>
      </c>
      <c r="AK10" s="78">
        <f t="shared" si="57"/>
        <v>-21005</v>
      </c>
      <c r="AL10" s="78">
        <f t="shared" si="57"/>
        <v>-21005</v>
      </c>
      <c r="AM10" s="78">
        <f t="shared" si="57"/>
        <v>-21005</v>
      </c>
      <c r="AN10" s="78">
        <f t="shared" si="57"/>
        <v>-21005</v>
      </c>
      <c r="AO10" s="78">
        <f t="shared" si="57"/>
        <v>-21005</v>
      </c>
      <c r="AP10" s="78">
        <f t="shared" si="57"/>
        <v>-21005</v>
      </c>
      <c r="AQ10" s="78">
        <f t="shared" si="57"/>
        <v>-21005</v>
      </c>
      <c r="AR10" s="89">
        <f t="shared" si="7"/>
        <v>-252060</v>
      </c>
      <c r="AS10" s="78">
        <f t="array" ref="AS10">SUM(AS4:AS9*0.25)</f>
        <v>-21845.200000000001</v>
      </c>
      <c r="AT10" s="78">
        <f t="shared" ref="AT10:BD10" si="58">AS10</f>
        <v>-21845.200000000001</v>
      </c>
      <c r="AU10" s="78">
        <f t="shared" si="58"/>
        <v>-21845.200000000001</v>
      </c>
      <c r="AV10" s="78">
        <f t="shared" si="58"/>
        <v>-21845.200000000001</v>
      </c>
      <c r="AW10" s="78">
        <f t="shared" si="58"/>
        <v>-21845.200000000001</v>
      </c>
      <c r="AX10" s="78">
        <f t="shared" si="58"/>
        <v>-21845.200000000001</v>
      </c>
      <c r="AY10" s="78">
        <f t="shared" si="58"/>
        <v>-21845.200000000001</v>
      </c>
      <c r="AZ10" s="78">
        <f t="shared" si="58"/>
        <v>-21845.200000000001</v>
      </c>
      <c r="BA10" s="78">
        <f t="shared" si="58"/>
        <v>-21845.200000000001</v>
      </c>
      <c r="BB10" s="78">
        <f t="shared" si="58"/>
        <v>-21845.200000000001</v>
      </c>
      <c r="BC10" s="78">
        <f t="shared" si="58"/>
        <v>-21845.200000000001</v>
      </c>
      <c r="BD10" s="78">
        <f t="shared" si="58"/>
        <v>-21845.200000000001</v>
      </c>
      <c r="BE10" s="89">
        <f t="shared" si="10"/>
        <v>-262142.40000000005</v>
      </c>
      <c r="BF10" s="78">
        <f t="array" ref="BF10">SUM(BF4:BF9*0.25)</f>
        <v>-22719.008000000002</v>
      </c>
      <c r="BG10" s="78">
        <f t="shared" si="45"/>
        <v>-22719.008000000002</v>
      </c>
      <c r="BH10" s="78">
        <f t="shared" ref="BH10:BQ10" si="59">BG10</f>
        <v>-22719.008000000002</v>
      </c>
      <c r="BI10" s="78">
        <f t="shared" si="59"/>
        <v>-22719.008000000002</v>
      </c>
      <c r="BJ10" s="78">
        <f t="shared" si="59"/>
        <v>-22719.008000000002</v>
      </c>
      <c r="BK10" s="78">
        <f t="shared" si="59"/>
        <v>-22719.008000000002</v>
      </c>
      <c r="BL10" s="78">
        <f t="shared" si="59"/>
        <v>-22719.008000000002</v>
      </c>
      <c r="BM10" s="78">
        <f t="shared" si="59"/>
        <v>-22719.008000000002</v>
      </c>
      <c r="BN10" s="78">
        <f t="shared" si="59"/>
        <v>-22719.008000000002</v>
      </c>
      <c r="BO10" s="78">
        <f t="shared" si="59"/>
        <v>-22719.008000000002</v>
      </c>
      <c r="BP10" s="78">
        <f t="shared" si="59"/>
        <v>-22719.008000000002</v>
      </c>
      <c r="BQ10" s="78">
        <f t="shared" si="59"/>
        <v>-22719.008000000002</v>
      </c>
      <c r="BR10" s="89">
        <f t="shared" si="13"/>
        <v>-272628.09600000002</v>
      </c>
      <c r="BS10" s="78">
        <f t="array" ref="BS10">SUM(BS4:BS9*0.25)</f>
        <v>-24693.977915523072</v>
      </c>
      <c r="BT10" s="78">
        <f t="shared" ref="BT10:CD10" si="60">BS10</f>
        <v>-24693.977915523072</v>
      </c>
      <c r="BU10" s="78">
        <f t="shared" si="60"/>
        <v>-24693.977915523072</v>
      </c>
      <c r="BV10" s="78">
        <f t="shared" si="60"/>
        <v>-24693.977915523072</v>
      </c>
      <c r="BW10" s="78">
        <f t="shared" si="60"/>
        <v>-24693.977915523072</v>
      </c>
      <c r="BX10" s="78">
        <f t="shared" si="60"/>
        <v>-24693.977915523072</v>
      </c>
      <c r="BY10" s="78">
        <f t="shared" si="60"/>
        <v>-24693.977915523072</v>
      </c>
      <c r="BZ10" s="78">
        <f t="shared" si="60"/>
        <v>-24693.977915523072</v>
      </c>
      <c r="CA10" s="78">
        <f t="shared" si="60"/>
        <v>-24693.977915523072</v>
      </c>
      <c r="CB10" s="78">
        <f t="shared" si="60"/>
        <v>-24693.977915523072</v>
      </c>
      <c r="CC10" s="78">
        <f t="shared" si="60"/>
        <v>-24693.977915523072</v>
      </c>
      <c r="CD10" s="78">
        <f t="shared" si="60"/>
        <v>-24693.977915523072</v>
      </c>
      <c r="CE10" s="89">
        <f t="shared" si="16"/>
        <v>-296327.73498627689</v>
      </c>
      <c r="CF10" s="78">
        <f t="array" ref="CF10">SUM(CF4:CF9*0.25)</f>
        <v>-25681.737032143999</v>
      </c>
      <c r="CG10" s="78">
        <f t="shared" ref="CG10:CQ10" si="61">CF10</f>
        <v>-25681.737032143999</v>
      </c>
      <c r="CH10" s="78">
        <f t="shared" si="61"/>
        <v>-25681.737032143999</v>
      </c>
      <c r="CI10" s="78">
        <f t="shared" si="61"/>
        <v>-25681.737032143999</v>
      </c>
      <c r="CJ10" s="78">
        <f t="shared" si="61"/>
        <v>-25681.737032143999</v>
      </c>
      <c r="CK10" s="78">
        <f t="shared" si="61"/>
        <v>-25681.737032143999</v>
      </c>
      <c r="CL10" s="78">
        <f t="shared" si="61"/>
        <v>-25681.737032143999</v>
      </c>
      <c r="CM10" s="78">
        <f t="shared" si="61"/>
        <v>-25681.737032143999</v>
      </c>
      <c r="CN10" s="78">
        <f t="shared" si="61"/>
        <v>-25681.737032143999</v>
      </c>
      <c r="CO10" s="78">
        <f t="shared" si="61"/>
        <v>-25681.737032143999</v>
      </c>
      <c r="CP10" s="78">
        <f t="shared" si="61"/>
        <v>-25681.737032143999</v>
      </c>
      <c r="CQ10" s="78">
        <f t="shared" si="61"/>
        <v>-25681.737032143999</v>
      </c>
      <c r="CR10" s="89">
        <f t="shared" si="19"/>
        <v>-308180.84438572801</v>
      </c>
    </row>
    <row r="11" spans="1:96" ht="14.25" customHeight="1" x14ac:dyDescent="0.4">
      <c r="B11" t="s">
        <v>500</v>
      </c>
      <c r="D11" s="89">
        <f t="shared" si="0"/>
        <v>-834059.89718261827</v>
      </c>
      <c r="E11" s="71"/>
      <c r="F11" s="38">
        <v>-8800</v>
      </c>
      <c r="G11" s="38">
        <f t="shared" ref="G11:Q11" si="62">F11</f>
        <v>-8800</v>
      </c>
      <c r="H11" s="38">
        <f t="shared" si="62"/>
        <v>-8800</v>
      </c>
      <c r="I11" s="38">
        <f t="shared" si="62"/>
        <v>-8800</v>
      </c>
      <c r="J11" s="38">
        <f t="shared" si="62"/>
        <v>-8800</v>
      </c>
      <c r="K11" s="38">
        <f t="shared" si="62"/>
        <v>-8800</v>
      </c>
      <c r="L11" s="38">
        <f t="shared" si="62"/>
        <v>-8800</v>
      </c>
      <c r="M11" s="38">
        <f t="shared" si="62"/>
        <v>-8800</v>
      </c>
      <c r="N11" s="38">
        <f t="shared" si="62"/>
        <v>-8800</v>
      </c>
      <c r="O11" s="38">
        <f t="shared" si="62"/>
        <v>-8800</v>
      </c>
      <c r="P11" s="38">
        <f t="shared" si="62"/>
        <v>-8800</v>
      </c>
      <c r="Q11" s="38">
        <f t="shared" si="62"/>
        <v>-8800</v>
      </c>
      <c r="R11" s="89">
        <f t="shared" si="2"/>
        <v>-105600</v>
      </c>
      <c r="S11" s="78">
        <f t="shared" si="3"/>
        <v>-9152</v>
      </c>
      <c r="T11" s="78">
        <f t="shared" ref="T11:AD11" si="63">S11</f>
        <v>-9152</v>
      </c>
      <c r="U11" s="78">
        <f t="shared" si="63"/>
        <v>-9152</v>
      </c>
      <c r="V11" s="78">
        <f t="shared" si="63"/>
        <v>-9152</v>
      </c>
      <c r="W11" s="78">
        <f t="shared" si="63"/>
        <v>-9152</v>
      </c>
      <c r="X11" s="78">
        <f t="shared" si="63"/>
        <v>-9152</v>
      </c>
      <c r="Y11" s="78">
        <f t="shared" si="63"/>
        <v>-9152</v>
      </c>
      <c r="Z11" s="78">
        <f t="shared" si="63"/>
        <v>-9152</v>
      </c>
      <c r="AA11" s="78">
        <f t="shared" si="63"/>
        <v>-9152</v>
      </c>
      <c r="AB11" s="78">
        <f t="shared" si="63"/>
        <v>-9152</v>
      </c>
      <c r="AC11" s="78">
        <f t="shared" si="63"/>
        <v>-9152</v>
      </c>
      <c r="AD11" s="78">
        <f t="shared" si="63"/>
        <v>-9152</v>
      </c>
      <c r="AE11" s="89">
        <f t="shared" si="5"/>
        <v>-109824</v>
      </c>
      <c r="AF11" s="78">
        <f t="shared" ref="AF11:AF12" si="64">AD11*$E$2</f>
        <v>-9518.08</v>
      </c>
      <c r="AG11" s="78">
        <f t="shared" ref="AG11:AQ11" si="65">AF11</f>
        <v>-9518.08</v>
      </c>
      <c r="AH11" s="78">
        <f t="shared" si="65"/>
        <v>-9518.08</v>
      </c>
      <c r="AI11" s="78">
        <f t="shared" si="65"/>
        <v>-9518.08</v>
      </c>
      <c r="AJ11" s="78">
        <f t="shared" si="65"/>
        <v>-9518.08</v>
      </c>
      <c r="AK11" s="78">
        <f t="shared" si="65"/>
        <v>-9518.08</v>
      </c>
      <c r="AL11" s="78">
        <f t="shared" si="65"/>
        <v>-9518.08</v>
      </c>
      <c r="AM11" s="78">
        <f t="shared" si="65"/>
        <v>-9518.08</v>
      </c>
      <c r="AN11" s="78">
        <f t="shared" si="65"/>
        <v>-9518.08</v>
      </c>
      <c r="AO11" s="78">
        <f t="shared" si="65"/>
        <v>-9518.08</v>
      </c>
      <c r="AP11" s="78">
        <f t="shared" si="65"/>
        <v>-9518.08</v>
      </c>
      <c r="AQ11" s="78">
        <f t="shared" si="65"/>
        <v>-9518.08</v>
      </c>
      <c r="AR11" s="89">
        <f t="shared" si="7"/>
        <v>-114216.96000000001</v>
      </c>
      <c r="AS11" s="78">
        <f t="shared" ref="AS11:AS12" si="66">AQ11*$E$2</f>
        <v>-9898.8032000000003</v>
      </c>
      <c r="AT11" s="78">
        <f t="shared" ref="AT11:BD11" si="67">AS11</f>
        <v>-9898.8032000000003</v>
      </c>
      <c r="AU11" s="78">
        <f t="shared" si="67"/>
        <v>-9898.8032000000003</v>
      </c>
      <c r="AV11" s="78">
        <f t="shared" si="67"/>
        <v>-9898.8032000000003</v>
      </c>
      <c r="AW11" s="78">
        <f t="shared" si="67"/>
        <v>-9898.8032000000003</v>
      </c>
      <c r="AX11" s="78">
        <f t="shared" si="67"/>
        <v>-9898.8032000000003</v>
      </c>
      <c r="AY11" s="78">
        <f t="shared" si="67"/>
        <v>-9898.8032000000003</v>
      </c>
      <c r="AZ11" s="78">
        <f t="shared" si="67"/>
        <v>-9898.8032000000003</v>
      </c>
      <c r="BA11" s="78">
        <f t="shared" si="67"/>
        <v>-9898.8032000000003</v>
      </c>
      <c r="BB11" s="78">
        <f t="shared" si="67"/>
        <v>-9898.8032000000003</v>
      </c>
      <c r="BC11" s="78">
        <f t="shared" si="67"/>
        <v>-9898.8032000000003</v>
      </c>
      <c r="BD11" s="78">
        <f t="shared" si="67"/>
        <v>-9898.8032000000003</v>
      </c>
      <c r="BE11" s="89">
        <f t="shared" si="10"/>
        <v>-118785.63839999998</v>
      </c>
      <c r="BF11" s="78">
        <f t="shared" ref="BF11:BF12" si="68">BD11*$E$2</f>
        <v>-10294.755328000001</v>
      </c>
      <c r="BG11" s="78">
        <f t="shared" si="45"/>
        <v>-10294.755328000001</v>
      </c>
      <c r="BH11" s="78">
        <f t="shared" ref="BH11:BQ11" si="69">BG11</f>
        <v>-10294.755328000001</v>
      </c>
      <c r="BI11" s="78">
        <f t="shared" si="69"/>
        <v>-10294.755328000001</v>
      </c>
      <c r="BJ11" s="78">
        <f t="shared" si="69"/>
        <v>-10294.755328000001</v>
      </c>
      <c r="BK11" s="78">
        <f t="shared" si="69"/>
        <v>-10294.755328000001</v>
      </c>
      <c r="BL11" s="78">
        <f t="shared" si="69"/>
        <v>-10294.755328000001</v>
      </c>
      <c r="BM11" s="78">
        <f t="shared" si="69"/>
        <v>-10294.755328000001</v>
      </c>
      <c r="BN11" s="78">
        <f t="shared" si="69"/>
        <v>-10294.755328000001</v>
      </c>
      <c r="BO11" s="78">
        <f t="shared" si="69"/>
        <v>-10294.755328000001</v>
      </c>
      <c r="BP11" s="78">
        <f t="shared" si="69"/>
        <v>-10294.755328000001</v>
      </c>
      <c r="BQ11" s="78">
        <f t="shared" si="69"/>
        <v>-10294.755328000001</v>
      </c>
      <c r="BR11" s="89">
        <f t="shared" si="13"/>
        <v>-123537.06393600001</v>
      </c>
      <c r="BS11" s="78">
        <f t="shared" ref="BS11:BS12" si="70">BQ11*$E$2</f>
        <v>-10706.545541120002</v>
      </c>
      <c r="BT11" s="78">
        <f t="shared" ref="BT11:CD11" si="71">BS11</f>
        <v>-10706.545541120002</v>
      </c>
      <c r="BU11" s="78">
        <f t="shared" si="71"/>
        <v>-10706.545541120002</v>
      </c>
      <c r="BV11" s="78">
        <f t="shared" si="71"/>
        <v>-10706.545541120002</v>
      </c>
      <c r="BW11" s="78">
        <f t="shared" si="71"/>
        <v>-10706.545541120002</v>
      </c>
      <c r="BX11" s="78">
        <f t="shared" si="71"/>
        <v>-10706.545541120002</v>
      </c>
      <c r="BY11" s="78">
        <f t="shared" si="71"/>
        <v>-10706.545541120002</v>
      </c>
      <c r="BZ11" s="78">
        <f t="shared" si="71"/>
        <v>-10706.545541120002</v>
      </c>
      <c r="CA11" s="78">
        <f t="shared" si="71"/>
        <v>-10706.545541120002</v>
      </c>
      <c r="CB11" s="78">
        <f t="shared" si="71"/>
        <v>-10706.545541120002</v>
      </c>
      <c r="CC11" s="78">
        <f t="shared" si="71"/>
        <v>-10706.545541120002</v>
      </c>
      <c r="CD11" s="78">
        <f t="shared" si="71"/>
        <v>-10706.545541120002</v>
      </c>
      <c r="CE11" s="89">
        <f t="shared" si="16"/>
        <v>-128478.54649343999</v>
      </c>
      <c r="CF11" s="78">
        <f t="shared" ref="CF11:CF12" si="72">CD11*$E$2</f>
        <v>-11134.807362764803</v>
      </c>
      <c r="CG11" s="78">
        <f t="shared" ref="CG11:CQ11" si="73">CF11</f>
        <v>-11134.807362764803</v>
      </c>
      <c r="CH11" s="78">
        <f t="shared" si="73"/>
        <v>-11134.807362764803</v>
      </c>
      <c r="CI11" s="78">
        <f t="shared" si="73"/>
        <v>-11134.807362764803</v>
      </c>
      <c r="CJ11" s="78">
        <f t="shared" si="73"/>
        <v>-11134.807362764803</v>
      </c>
      <c r="CK11" s="78">
        <f t="shared" si="73"/>
        <v>-11134.807362764803</v>
      </c>
      <c r="CL11" s="78">
        <f t="shared" si="73"/>
        <v>-11134.807362764803</v>
      </c>
      <c r="CM11" s="78">
        <f t="shared" si="73"/>
        <v>-11134.807362764803</v>
      </c>
      <c r="CN11" s="78">
        <f t="shared" si="73"/>
        <v>-11134.807362764803</v>
      </c>
      <c r="CO11" s="78">
        <f t="shared" si="73"/>
        <v>-11134.807362764803</v>
      </c>
      <c r="CP11" s="78">
        <f t="shared" si="73"/>
        <v>-11134.807362764803</v>
      </c>
      <c r="CQ11" s="78">
        <f t="shared" si="73"/>
        <v>-11134.807362764803</v>
      </c>
      <c r="CR11" s="89">
        <f t="shared" si="19"/>
        <v>-133617.6883531776</v>
      </c>
    </row>
    <row r="12" spans="1:96" ht="14.25" customHeight="1" x14ac:dyDescent="0.4">
      <c r="B12" t="s">
        <v>501</v>
      </c>
      <c r="D12" s="89">
        <f t="shared" si="0"/>
        <v>-236948.83442688017</v>
      </c>
      <c r="E12" s="71"/>
      <c r="F12" s="38">
        <v>-2500</v>
      </c>
      <c r="G12" s="38">
        <f t="shared" ref="G12:Q12" si="74">F12</f>
        <v>-2500</v>
      </c>
      <c r="H12" s="38">
        <f t="shared" si="74"/>
        <v>-2500</v>
      </c>
      <c r="I12" s="38">
        <f t="shared" si="74"/>
        <v>-2500</v>
      </c>
      <c r="J12" s="38">
        <f t="shared" si="74"/>
        <v>-2500</v>
      </c>
      <c r="K12" s="38">
        <f t="shared" si="74"/>
        <v>-2500</v>
      </c>
      <c r="L12" s="38">
        <f t="shared" si="74"/>
        <v>-2500</v>
      </c>
      <c r="M12" s="38">
        <f t="shared" si="74"/>
        <v>-2500</v>
      </c>
      <c r="N12" s="38">
        <f t="shared" si="74"/>
        <v>-2500</v>
      </c>
      <c r="O12" s="38">
        <f t="shared" si="74"/>
        <v>-2500</v>
      </c>
      <c r="P12" s="38">
        <f t="shared" si="74"/>
        <v>-2500</v>
      </c>
      <c r="Q12" s="38">
        <f t="shared" si="74"/>
        <v>-2500</v>
      </c>
      <c r="R12" s="89">
        <f t="shared" si="2"/>
        <v>-30000</v>
      </c>
      <c r="S12" s="78">
        <f t="shared" si="3"/>
        <v>-2600</v>
      </c>
      <c r="T12" s="78">
        <f t="shared" ref="T12:AD12" si="75">S12</f>
        <v>-2600</v>
      </c>
      <c r="U12" s="78">
        <f t="shared" si="75"/>
        <v>-2600</v>
      </c>
      <c r="V12" s="78">
        <f t="shared" si="75"/>
        <v>-2600</v>
      </c>
      <c r="W12" s="78">
        <f t="shared" si="75"/>
        <v>-2600</v>
      </c>
      <c r="X12" s="78">
        <f t="shared" si="75"/>
        <v>-2600</v>
      </c>
      <c r="Y12" s="78">
        <f t="shared" si="75"/>
        <v>-2600</v>
      </c>
      <c r="Z12" s="78">
        <f t="shared" si="75"/>
        <v>-2600</v>
      </c>
      <c r="AA12" s="78">
        <f t="shared" si="75"/>
        <v>-2600</v>
      </c>
      <c r="AB12" s="78">
        <f t="shared" si="75"/>
        <v>-2600</v>
      </c>
      <c r="AC12" s="78">
        <f t="shared" si="75"/>
        <v>-2600</v>
      </c>
      <c r="AD12" s="78">
        <f t="shared" si="75"/>
        <v>-2600</v>
      </c>
      <c r="AE12" s="89">
        <f t="shared" si="5"/>
        <v>-31200</v>
      </c>
      <c r="AF12" s="78">
        <f t="shared" si="64"/>
        <v>-2704</v>
      </c>
      <c r="AG12" s="78">
        <f t="shared" ref="AG12:AQ12" si="76">AF12</f>
        <v>-2704</v>
      </c>
      <c r="AH12" s="78">
        <f t="shared" si="76"/>
        <v>-2704</v>
      </c>
      <c r="AI12" s="78">
        <f t="shared" si="76"/>
        <v>-2704</v>
      </c>
      <c r="AJ12" s="78">
        <f t="shared" si="76"/>
        <v>-2704</v>
      </c>
      <c r="AK12" s="78">
        <f t="shared" si="76"/>
        <v>-2704</v>
      </c>
      <c r="AL12" s="78">
        <f t="shared" si="76"/>
        <v>-2704</v>
      </c>
      <c r="AM12" s="78">
        <f t="shared" si="76"/>
        <v>-2704</v>
      </c>
      <c r="AN12" s="78">
        <f t="shared" si="76"/>
        <v>-2704</v>
      </c>
      <c r="AO12" s="78">
        <f t="shared" si="76"/>
        <v>-2704</v>
      </c>
      <c r="AP12" s="78">
        <f t="shared" si="76"/>
        <v>-2704</v>
      </c>
      <c r="AQ12" s="78">
        <f t="shared" si="76"/>
        <v>-2704</v>
      </c>
      <c r="AR12" s="89">
        <f t="shared" si="7"/>
        <v>-32448</v>
      </c>
      <c r="AS12" s="78">
        <f t="shared" si="66"/>
        <v>-2812.1600000000003</v>
      </c>
      <c r="AT12" s="78">
        <f t="shared" ref="AT12:BD12" si="77">AS12</f>
        <v>-2812.1600000000003</v>
      </c>
      <c r="AU12" s="78">
        <f t="shared" si="77"/>
        <v>-2812.1600000000003</v>
      </c>
      <c r="AV12" s="78">
        <f t="shared" si="77"/>
        <v>-2812.1600000000003</v>
      </c>
      <c r="AW12" s="78">
        <f t="shared" si="77"/>
        <v>-2812.1600000000003</v>
      </c>
      <c r="AX12" s="78">
        <f t="shared" si="77"/>
        <v>-2812.1600000000003</v>
      </c>
      <c r="AY12" s="78">
        <f t="shared" si="77"/>
        <v>-2812.1600000000003</v>
      </c>
      <c r="AZ12" s="78">
        <f t="shared" si="77"/>
        <v>-2812.1600000000003</v>
      </c>
      <c r="BA12" s="78">
        <f t="shared" si="77"/>
        <v>-2812.1600000000003</v>
      </c>
      <c r="BB12" s="78">
        <f t="shared" si="77"/>
        <v>-2812.1600000000003</v>
      </c>
      <c r="BC12" s="78">
        <f t="shared" si="77"/>
        <v>-2812.1600000000003</v>
      </c>
      <c r="BD12" s="78">
        <f t="shared" si="77"/>
        <v>-2812.1600000000003</v>
      </c>
      <c r="BE12" s="89">
        <f t="shared" si="10"/>
        <v>-33745.920000000006</v>
      </c>
      <c r="BF12" s="78">
        <f t="shared" si="68"/>
        <v>-2924.6464000000005</v>
      </c>
      <c r="BG12" s="78">
        <f t="shared" si="45"/>
        <v>-2924.6464000000005</v>
      </c>
      <c r="BH12" s="78">
        <f t="shared" ref="BH12:BQ12" si="78">BG12</f>
        <v>-2924.6464000000005</v>
      </c>
      <c r="BI12" s="78">
        <f t="shared" si="78"/>
        <v>-2924.6464000000005</v>
      </c>
      <c r="BJ12" s="78">
        <f t="shared" si="78"/>
        <v>-2924.6464000000005</v>
      </c>
      <c r="BK12" s="78">
        <f t="shared" si="78"/>
        <v>-2924.6464000000005</v>
      </c>
      <c r="BL12" s="78">
        <f t="shared" si="78"/>
        <v>-2924.6464000000005</v>
      </c>
      <c r="BM12" s="78">
        <f t="shared" si="78"/>
        <v>-2924.6464000000005</v>
      </c>
      <c r="BN12" s="78">
        <f t="shared" si="78"/>
        <v>-2924.6464000000005</v>
      </c>
      <c r="BO12" s="78">
        <f t="shared" si="78"/>
        <v>-2924.6464000000005</v>
      </c>
      <c r="BP12" s="78">
        <f t="shared" si="78"/>
        <v>-2924.6464000000005</v>
      </c>
      <c r="BQ12" s="78">
        <f t="shared" si="78"/>
        <v>-2924.6464000000005</v>
      </c>
      <c r="BR12" s="89">
        <f t="shared" si="13"/>
        <v>-35095.75680000001</v>
      </c>
      <c r="BS12" s="78">
        <f t="shared" si="70"/>
        <v>-3041.6322560000008</v>
      </c>
      <c r="BT12" s="78">
        <f t="shared" ref="BT12:CD12" si="79">BS12</f>
        <v>-3041.6322560000008</v>
      </c>
      <c r="BU12" s="78">
        <f t="shared" si="79"/>
        <v>-3041.6322560000008</v>
      </c>
      <c r="BV12" s="78">
        <f t="shared" si="79"/>
        <v>-3041.6322560000008</v>
      </c>
      <c r="BW12" s="78">
        <f t="shared" si="79"/>
        <v>-3041.6322560000008</v>
      </c>
      <c r="BX12" s="78">
        <f t="shared" si="79"/>
        <v>-3041.6322560000008</v>
      </c>
      <c r="BY12" s="78">
        <f t="shared" si="79"/>
        <v>-3041.6322560000008</v>
      </c>
      <c r="BZ12" s="78">
        <f t="shared" si="79"/>
        <v>-3041.6322560000008</v>
      </c>
      <c r="CA12" s="78">
        <f t="shared" si="79"/>
        <v>-3041.6322560000008</v>
      </c>
      <c r="CB12" s="78">
        <f t="shared" si="79"/>
        <v>-3041.6322560000008</v>
      </c>
      <c r="CC12" s="78">
        <f t="shared" si="79"/>
        <v>-3041.6322560000008</v>
      </c>
      <c r="CD12" s="78">
        <f t="shared" si="79"/>
        <v>-3041.6322560000008</v>
      </c>
      <c r="CE12" s="89">
        <f t="shared" si="16"/>
        <v>-36499.587072000009</v>
      </c>
      <c r="CF12" s="78">
        <f t="shared" si="72"/>
        <v>-3163.2975462400009</v>
      </c>
      <c r="CG12" s="78">
        <f t="shared" ref="CG12:CQ12" si="80">CF12</f>
        <v>-3163.2975462400009</v>
      </c>
      <c r="CH12" s="78">
        <f t="shared" si="80"/>
        <v>-3163.2975462400009</v>
      </c>
      <c r="CI12" s="78">
        <f t="shared" si="80"/>
        <v>-3163.2975462400009</v>
      </c>
      <c r="CJ12" s="78">
        <f t="shared" si="80"/>
        <v>-3163.2975462400009</v>
      </c>
      <c r="CK12" s="78">
        <f t="shared" si="80"/>
        <v>-3163.2975462400009</v>
      </c>
      <c r="CL12" s="78">
        <f t="shared" si="80"/>
        <v>-3163.2975462400009</v>
      </c>
      <c r="CM12" s="78">
        <f t="shared" si="80"/>
        <v>-3163.2975462400009</v>
      </c>
      <c r="CN12" s="78">
        <f t="shared" si="80"/>
        <v>-3163.2975462400009</v>
      </c>
      <c r="CO12" s="78">
        <f t="shared" si="80"/>
        <v>-3163.2975462400009</v>
      </c>
      <c r="CP12" s="78">
        <f t="shared" si="80"/>
        <v>-3163.2975462400009</v>
      </c>
      <c r="CQ12" s="78">
        <f t="shared" si="80"/>
        <v>-3163.2975462400009</v>
      </c>
      <c r="CR12" s="89">
        <f t="shared" si="19"/>
        <v>-37959.570554880003</v>
      </c>
    </row>
    <row r="13" spans="1:96" ht="14.25" customHeight="1" x14ac:dyDescent="0.4">
      <c r="B13" t="s">
        <v>502</v>
      </c>
      <c r="D13" s="89">
        <f t="shared" si="0"/>
        <v>-5000</v>
      </c>
      <c r="F13" s="38">
        <v>0</v>
      </c>
      <c r="G13" s="38">
        <v>-5000</v>
      </c>
      <c r="H13" s="39"/>
      <c r="I13" s="39"/>
      <c r="J13" s="39"/>
      <c r="K13" s="39"/>
      <c r="L13" s="39"/>
      <c r="M13" s="39"/>
      <c r="N13" s="39"/>
      <c r="O13" s="39"/>
      <c r="P13" s="39"/>
      <c r="Q13" s="39"/>
      <c r="R13" s="89">
        <f t="shared" si="2"/>
        <v>-5000</v>
      </c>
      <c r="S13" s="78">
        <f t="shared" si="3"/>
        <v>0</v>
      </c>
      <c r="T13" s="78">
        <f t="shared" ref="T13:AD13" si="81">S13</f>
        <v>0</v>
      </c>
      <c r="U13" s="78">
        <f t="shared" si="81"/>
        <v>0</v>
      </c>
      <c r="V13" s="78">
        <f t="shared" si="81"/>
        <v>0</v>
      </c>
      <c r="W13" s="78">
        <f t="shared" si="81"/>
        <v>0</v>
      </c>
      <c r="X13" s="78">
        <f t="shared" si="81"/>
        <v>0</v>
      </c>
      <c r="Y13" s="78">
        <f t="shared" si="81"/>
        <v>0</v>
      </c>
      <c r="Z13" s="78">
        <f t="shared" si="81"/>
        <v>0</v>
      </c>
      <c r="AA13" s="78">
        <f t="shared" si="81"/>
        <v>0</v>
      </c>
      <c r="AB13" s="78">
        <f t="shared" si="81"/>
        <v>0</v>
      </c>
      <c r="AC13" s="78">
        <f t="shared" si="81"/>
        <v>0</v>
      </c>
      <c r="AD13" s="78">
        <f t="shared" si="81"/>
        <v>0</v>
      </c>
      <c r="AE13" s="89">
        <f t="shared" si="5"/>
        <v>0</v>
      </c>
      <c r="AF13" s="78"/>
      <c r="AR13" s="89">
        <f t="shared" si="7"/>
        <v>0</v>
      </c>
      <c r="BE13" s="89">
        <f t="shared" si="10"/>
        <v>0</v>
      </c>
      <c r="BR13" s="89">
        <f t="shared" si="13"/>
        <v>0</v>
      </c>
      <c r="CE13" s="89">
        <f t="shared" si="16"/>
        <v>0</v>
      </c>
      <c r="CR13" s="89">
        <f t="shared" si="19"/>
        <v>0</v>
      </c>
    </row>
    <row r="14" spans="1:96" ht="14.25" customHeight="1" x14ac:dyDescent="0.4">
      <c r="B14" t="s">
        <v>503</v>
      </c>
      <c r="D14" s="89">
        <f t="shared" si="0"/>
        <v>-300</v>
      </c>
      <c r="F14" s="38">
        <v>0</v>
      </c>
      <c r="G14" s="38">
        <v>0</v>
      </c>
      <c r="H14" s="38"/>
      <c r="I14" s="38"/>
      <c r="J14" s="38"/>
      <c r="K14" s="38">
        <v>-300</v>
      </c>
      <c r="L14" s="38"/>
      <c r="M14" s="38"/>
      <c r="N14" s="38"/>
      <c r="O14" s="38"/>
      <c r="P14" s="38"/>
      <c r="Q14" s="38"/>
      <c r="R14" s="89">
        <f t="shared" si="2"/>
        <v>-300</v>
      </c>
      <c r="S14" s="78">
        <f t="shared" si="3"/>
        <v>0</v>
      </c>
      <c r="T14" s="78">
        <f t="shared" ref="T14:AD14" si="82">S14</f>
        <v>0</v>
      </c>
      <c r="U14" s="78">
        <f t="shared" si="82"/>
        <v>0</v>
      </c>
      <c r="V14" s="78">
        <f t="shared" si="82"/>
        <v>0</v>
      </c>
      <c r="W14" s="78">
        <f t="shared" si="82"/>
        <v>0</v>
      </c>
      <c r="X14" s="78">
        <f t="shared" si="82"/>
        <v>0</v>
      </c>
      <c r="Y14" s="78">
        <f t="shared" si="82"/>
        <v>0</v>
      </c>
      <c r="Z14" s="78">
        <f t="shared" si="82"/>
        <v>0</v>
      </c>
      <c r="AA14" s="78">
        <f t="shared" si="82"/>
        <v>0</v>
      </c>
      <c r="AB14" s="78">
        <f t="shared" si="82"/>
        <v>0</v>
      </c>
      <c r="AC14" s="78">
        <f t="shared" si="82"/>
        <v>0</v>
      </c>
      <c r="AD14" s="78">
        <f t="shared" si="82"/>
        <v>0</v>
      </c>
      <c r="AE14" s="89">
        <f t="shared" si="5"/>
        <v>0</v>
      </c>
      <c r="AF14" s="78"/>
      <c r="AH14" s="38"/>
      <c r="AR14" s="89">
        <f t="shared" si="7"/>
        <v>0</v>
      </c>
      <c r="AU14" s="38"/>
      <c r="BE14" s="89">
        <f t="shared" si="10"/>
        <v>0</v>
      </c>
      <c r="BH14" s="38"/>
      <c r="BR14" s="89">
        <f t="shared" si="13"/>
        <v>0</v>
      </c>
      <c r="BU14" s="38"/>
      <c r="CE14" s="89">
        <f t="shared" si="16"/>
        <v>0</v>
      </c>
      <c r="CH14" s="38"/>
      <c r="CR14" s="89">
        <f t="shared" si="19"/>
        <v>0</v>
      </c>
    </row>
    <row r="15" spans="1:96" ht="14.25" customHeight="1" x14ac:dyDescent="0.4">
      <c r="B15" t="s">
        <v>504</v>
      </c>
      <c r="D15" s="89">
        <f t="shared" si="0"/>
        <v>-41000</v>
      </c>
      <c r="F15" s="38">
        <v>-5000</v>
      </c>
      <c r="G15" s="38">
        <v>0</v>
      </c>
      <c r="H15" s="38"/>
      <c r="I15" s="38"/>
      <c r="J15" s="38"/>
      <c r="K15" s="38"/>
      <c r="L15" s="38"/>
      <c r="M15" s="38"/>
      <c r="N15" s="38"/>
      <c r="O15" s="38"/>
      <c r="P15" s="38"/>
      <c r="Q15" s="38"/>
      <c r="R15" s="89">
        <f t="shared" si="2"/>
        <v>-5000</v>
      </c>
      <c r="U15" s="38">
        <v>-1500</v>
      </c>
      <c r="X15" s="38">
        <v>-1500</v>
      </c>
      <c r="AA15" s="38">
        <v>-1500</v>
      </c>
      <c r="AB15" s="38"/>
      <c r="AC15" s="38"/>
      <c r="AD15" s="38">
        <v>-1500</v>
      </c>
      <c r="AE15" s="89">
        <f t="shared" si="5"/>
        <v>-6000</v>
      </c>
      <c r="AF15" s="78"/>
      <c r="AH15" s="38">
        <v>-1500</v>
      </c>
      <c r="AK15" s="38">
        <v>-1500</v>
      </c>
      <c r="AN15" s="38">
        <v>-1500</v>
      </c>
      <c r="AQ15" s="38">
        <v>-1500</v>
      </c>
      <c r="AR15" s="89">
        <f t="shared" si="7"/>
        <v>-6000</v>
      </c>
      <c r="AU15" s="38">
        <v>-1500</v>
      </c>
      <c r="AX15" s="38">
        <v>-1500</v>
      </c>
      <c r="AY15" s="38"/>
      <c r="AZ15" s="38"/>
      <c r="BA15" s="38">
        <v>-1500</v>
      </c>
      <c r="BB15" s="38"/>
      <c r="BC15" s="38"/>
      <c r="BD15" s="38">
        <v>-1500</v>
      </c>
      <c r="BE15" s="89">
        <f t="shared" si="10"/>
        <v>-6000</v>
      </c>
      <c r="BH15" s="38">
        <v>-1500</v>
      </c>
      <c r="BK15" s="38">
        <v>-1500</v>
      </c>
      <c r="BL15" s="38"/>
      <c r="BM15" s="38"/>
      <c r="BN15" s="38">
        <v>-1500</v>
      </c>
      <c r="BO15" s="38"/>
      <c r="BP15" s="38"/>
      <c r="BQ15" s="38">
        <v>-1500</v>
      </c>
      <c r="BR15" s="89">
        <f t="shared" si="13"/>
        <v>-6000</v>
      </c>
      <c r="BU15" s="38">
        <v>-1500</v>
      </c>
      <c r="BX15" s="38">
        <v>-1500</v>
      </c>
      <c r="BY15" s="38"/>
      <c r="BZ15" s="38"/>
      <c r="CA15" s="38">
        <v>-1500</v>
      </c>
      <c r="CB15" s="38"/>
      <c r="CC15" s="38"/>
      <c r="CD15" s="38">
        <v>-1500</v>
      </c>
      <c r="CE15" s="89">
        <f t="shared" si="16"/>
        <v>-6000</v>
      </c>
      <c r="CH15" s="38">
        <v>-1500</v>
      </c>
      <c r="CK15" s="38">
        <v>-1500</v>
      </c>
      <c r="CL15" s="38"/>
      <c r="CM15" s="38"/>
      <c r="CN15" s="38">
        <v>-1500</v>
      </c>
      <c r="CO15" s="38"/>
      <c r="CP15" s="38"/>
      <c r="CQ15" s="38">
        <v>-1500</v>
      </c>
      <c r="CR15" s="89">
        <f t="shared" si="19"/>
        <v>-6000</v>
      </c>
    </row>
    <row r="16" spans="1:96" ht="14.25" customHeight="1" x14ac:dyDescent="0.4">
      <c r="B16" s="426" t="s">
        <v>586</v>
      </c>
      <c r="D16" s="89">
        <f t="shared" si="0"/>
        <v>-2778000</v>
      </c>
      <c r="F16" s="38">
        <v>-17000</v>
      </c>
      <c r="G16" s="38">
        <f t="shared" ref="G16:Q16" si="83">F16</f>
        <v>-17000</v>
      </c>
      <c r="H16" s="38">
        <f t="shared" si="83"/>
        <v>-17000</v>
      </c>
      <c r="I16" s="38">
        <f t="shared" si="83"/>
        <v>-17000</v>
      </c>
      <c r="J16" s="38">
        <f t="shared" si="83"/>
        <v>-17000</v>
      </c>
      <c r="K16" s="38">
        <f t="shared" si="83"/>
        <v>-17000</v>
      </c>
      <c r="L16" s="38">
        <f t="shared" si="83"/>
        <v>-17000</v>
      </c>
      <c r="M16" s="38">
        <f t="shared" si="83"/>
        <v>-17000</v>
      </c>
      <c r="N16" s="38">
        <f t="shared" si="83"/>
        <v>-17000</v>
      </c>
      <c r="O16" s="38">
        <f t="shared" si="83"/>
        <v>-17000</v>
      </c>
      <c r="P16" s="38">
        <f t="shared" si="83"/>
        <v>-17000</v>
      </c>
      <c r="Q16" s="38">
        <f t="shared" si="83"/>
        <v>-17000</v>
      </c>
      <c r="R16" s="89">
        <f t="shared" si="2"/>
        <v>-204000</v>
      </c>
      <c r="S16" s="38">
        <v>-27000</v>
      </c>
      <c r="T16" s="38">
        <f t="shared" ref="T16:AD16" si="84">S16</f>
        <v>-27000</v>
      </c>
      <c r="U16" s="38">
        <f t="shared" si="84"/>
        <v>-27000</v>
      </c>
      <c r="V16" s="38">
        <f t="shared" si="84"/>
        <v>-27000</v>
      </c>
      <c r="W16" s="38">
        <f t="shared" si="84"/>
        <v>-27000</v>
      </c>
      <c r="X16" s="38">
        <f t="shared" si="84"/>
        <v>-27000</v>
      </c>
      <c r="Y16" s="38">
        <f t="shared" si="84"/>
        <v>-27000</v>
      </c>
      <c r="Z16" s="38">
        <f t="shared" si="84"/>
        <v>-27000</v>
      </c>
      <c r="AA16" s="38">
        <f t="shared" si="84"/>
        <v>-27000</v>
      </c>
      <c r="AB16" s="38">
        <f t="shared" si="84"/>
        <v>-27000</v>
      </c>
      <c r="AC16" s="38">
        <f t="shared" si="84"/>
        <v>-27000</v>
      </c>
      <c r="AD16" s="38">
        <f t="shared" si="84"/>
        <v>-27000</v>
      </c>
      <c r="AE16" s="89">
        <f t="shared" si="5"/>
        <v>-324000</v>
      </c>
      <c r="AF16" s="38">
        <v>-33000</v>
      </c>
      <c r="AG16" s="38">
        <v>-33000</v>
      </c>
      <c r="AH16" s="38">
        <v>-33000</v>
      </c>
      <c r="AI16" s="38">
        <v>-33000</v>
      </c>
      <c r="AJ16" s="38">
        <v>-33000</v>
      </c>
      <c r="AK16" s="38">
        <v>-33000</v>
      </c>
      <c r="AL16" s="38">
        <v>-33000</v>
      </c>
      <c r="AM16" s="38">
        <v>-33000</v>
      </c>
      <c r="AN16" s="38">
        <v>-33000</v>
      </c>
      <c r="AO16" s="38">
        <v>-33000</v>
      </c>
      <c r="AP16" s="38">
        <v>-33000</v>
      </c>
      <c r="AQ16" s="38">
        <v>-33000</v>
      </c>
      <c r="AR16" s="89">
        <f t="shared" si="7"/>
        <v>-396000</v>
      </c>
      <c r="AS16" s="38">
        <v>-37500</v>
      </c>
      <c r="AT16" s="38">
        <f t="shared" ref="AT16:BD16" si="85">AS16</f>
        <v>-37500</v>
      </c>
      <c r="AU16" s="38">
        <f t="shared" si="85"/>
        <v>-37500</v>
      </c>
      <c r="AV16" s="38">
        <f t="shared" si="85"/>
        <v>-37500</v>
      </c>
      <c r="AW16" s="38">
        <f t="shared" si="85"/>
        <v>-37500</v>
      </c>
      <c r="AX16" s="38">
        <f t="shared" si="85"/>
        <v>-37500</v>
      </c>
      <c r="AY16" s="38">
        <f t="shared" si="85"/>
        <v>-37500</v>
      </c>
      <c r="AZ16" s="38">
        <f t="shared" si="85"/>
        <v>-37500</v>
      </c>
      <c r="BA16" s="38">
        <f t="shared" si="85"/>
        <v>-37500</v>
      </c>
      <c r="BB16" s="38">
        <f t="shared" si="85"/>
        <v>-37500</v>
      </c>
      <c r="BC16" s="38">
        <f t="shared" si="85"/>
        <v>-37500</v>
      </c>
      <c r="BD16" s="38">
        <f t="shared" si="85"/>
        <v>-37500</v>
      </c>
      <c r="BE16" s="89">
        <f t="shared" si="10"/>
        <v>-450000</v>
      </c>
      <c r="BF16" s="38">
        <f>-37500*$E$2</f>
        <v>-39000</v>
      </c>
      <c r="BG16" s="38">
        <f t="shared" ref="BG16:BQ16" si="86">BF16</f>
        <v>-39000</v>
      </c>
      <c r="BH16" s="38">
        <f t="shared" si="86"/>
        <v>-39000</v>
      </c>
      <c r="BI16" s="38">
        <f t="shared" si="86"/>
        <v>-39000</v>
      </c>
      <c r="BJ16" s="38">
        <f t="shared" si="86"/>
        <v>-39000</v>
      </c>
      <c r="BK16" s="38">
        <f t="shared" si="86"/>
        <v>-39000</v>
      </c>
      <c r="BL16" s="38">
        <f t="shared" si="86"/>
        <v>-39000</v>
      </c>
      <c r="BM16" s="38">
        <f t="shared" si="86"/>
        <v>-39000</v>
      </c>
      <c r="BN16" s="38">
        <f t="shared" si="86"/>
        <v>-39000</v>
      </c>
      <c r="BO16" s="38">
        <f t="shared" si="86"/>
        <v>-39000</v>
      </c>
      <c r="BP16" s="38">
        <f t="shared" si="86"/>
        <v>-39000</v>
      </c>
      <c r="BQ16" s="38">
        <f t="shared" si="86"/>
        <v>-39000</v>
      </c>
      <c r="BR16" s="89">
        <f t="shared" si="13"/>
        <v>-468000</v>
      </c>
      <c r="BS16" s="38">
        <f>-37500*$E$2</f>
        <v>-39000</v>
      </c>
      <c r="BT16" s="38">
        <f t="shared" ref="BT16:CD16" si="87">BS16</f>
        <v>-39000</v>
      </c>
      <c r="BU16" s="38">
        <f t="shared" si="87"/>
        <v>-39000</v>
      </c>
      <c r="BV16" s="38">
        <f t="shared" si="87"/>
        <v>-39000</v>
      </c>
      <c r="BW16" s="38">
        <f t="shared" si="87"/>
        <v>-39000</v>
      </c>
      <c r="BX16" s="38">
        <f t="shared" si="87"/>
        <v>-39000</v>
      </c>
      <c r="BY16" s="38">
        <f t="shared" si="87"/>
        <v>-39000</v>
      </c>
      <c r="BZ16" s="38">
        <f t="shared" si="87"/>
        <v>-39000</v>
      </c>
      <c r="CA16" s="38">
        <f t="shared" si="87"/>
        <v>-39000</v>
      </c>
      <c r="CB16" s="38">
        <f t="shared" si="87"/>
        <v>-39000</v>
      </c>
      <c r="CC16" s="38">
        <f t="shared" si="87"/>
        <v>-39000</v>
      </c>
      <c r="CD16" s="38">
        <f t="shared" si="87"/>
        <v>-39000</v>
      </c>
      <c r="CE16" s="89">
        <f t="shared" si="16"/>
        <v>-468000</v>
      </c>
      <c r="CF16" s="38">
        <f>-37500*$E$2</f>
        <v>-39000</v>
      </c>
      <c r="CG16" s="38">
        <f t="shared" ref="CG16:CQ16" si="88">CF16</f>
        <v>-39000</v>
      </c>
      <c r="CH16" s="38">
        <f t="shared" si="88"/>
        <v>-39000</v>
      </c>
      <c r="CI16" s="38">
        <f t="shared" si="88"/>
        <v>-39000</v>
      </c>
      <c r="CJ16" s="38">
        <f t="shared" si="88"/>
        <v>-39000</v>
      </c>
      <c r="CK16" s="38">
        <f t="shared" si="88"/>
        <v>-39000</v>
      </c>
      <c r="CL16" s="38">
        <f t="shared" si="88"/>
        <v>-39000</v>
      </c>
      <c r="CM16" s="38">
        <f t="shared" si="88"/>
        <v>-39000</v>
      </c>
      <c r="CN16" s="38">
        <f t="shared" si="88"/>
        <v>-39000</v>
      </c>
      <c r="CO16" s="38">
        <f t="shared" si="88"/>
        <v>-39000</v>
      </c>
      <c r="CP16" s="38">
        <f t="shared" si="88"/>
        <v>-39000</v>
      </c>
      <c r="CQ16" s="38">
        <f t="shared" si="88"/>
        <v>-39000</v>
      </c>
      <c r="CR16" s="89">
        <f t="shared" si="19"/>
        <v>-468000</v>
      </c>
    </row>
    <row r="17" spans="2:96" ht="14.25" customHeight="1" x14ac:dyDescent="0.4">
      <c r="B17" t="s">
        <v>505</v>
      </c>
      <c r="D17" s="89">
        <f t="shared" si="0"/>
        <v>-40000</v>
      </c>
      <c r="F17" s="38">
        <v>-5000</v>
      </c>
      <c r="G17" s="38">
        <v>0</v>
      </c>
      <c r="H17" s="38"/>
      <c r="I17" s="38"/>
      <c r="J17" s="38"/>
      <c r="K17" s="38"/>
      <c r="L17" s="38"/>
      <c r="M17" s="38"/>
      <c r="N17" s="38"/>
      <c r="O17" s="38"/>
      <c r="P17" s="38"/>
      <c r="Q17" s="38"/>
      <c r="R17" s="89">
        <f t="shared" si="2"/>
        <v>-5000</v>
      </c>
      <c r="S17" s="38">
        <v>-5000</v>
      </c>
      <c r="U17" s="38"/>
      <c r="V17" s="38"/>
      <c r="X17" s="38"/>
      <c r="AA17" s="38"/>
      <c r="AB17" s="38"/>
      <c r="AC17" s="38"/>
      <c r="AD17" s="38"/>
      <c r="AE17" s="89">
        <f t="shared" si="5"/>
        <v>-5000</v>
      </c>
      <c r="AF17" s="38">
        <v>-6000</v>
      </c>
      <c r="AH17" s="38"/>
      <c r="AI17" s="38"/>
      <c r="AK17" s="38"/>
      <c r="AN17" s="38"/>
      <c r="AO17" s="38"/>
      <c r="AP17" s="38"/>
      <c r="AQ17" s="38"/>
      <c r="AR17" s="89">
        <f t="shared" si="7"/>
        <v>-6000</v>
      </c>
      <c r="AS17" s="38">
        <v>-6000</v>
      </c>
      <c r="AU17" s="38"/>
      <c r="AV17" s="38"/>
      <c r="AX17" s="38"/>
      <c r="BA17" s="38"/>
      <c r="BB17" s="38"/>
      <c r="BC17" s="38"/>
      <c r="BD17" s="38"/>
      <c r="BE17" s="89">
        <f t="shared" si="10"/>
        <v>-6000</v>
      </c>
      <c r="BF17" s="38">
        <v>-6000</v>
      </c>
      <c r="BH17" s="38"/>
      <c r="BI17" s="38"/>
      <c r="BK17" s="38"/>
      <c r="BN17" s="38"/>
      <c r="BO17" s="38"/>
      <c r="BP17" s="38"/>
      <c r="BQ17" s="38"/>
      <c r="BR17" s="89">
        <f t="shared" si="13"/>
        <v>-6000</v>
      </c>
      <c r="BS17" s="38">
        <v>-6000</v>
      </c>
      <c r="BU17" s="38"/>
      <c r="BV17" s="38"/>
      <c r="BX17" s="38"/>
      <c r="CA17" s="38"/>
      <c r="CB17" s="38"/>
      <c r="CC17" s="38"/>
      <c r="CD17" s="38"/>
      <c r="CE17" s="89">
        <f t="shared" si="16"/>
        <v>-6000</v>
      </c>
      <c r="CF17" s="38">
        <v>-6000</v>
      </c>
      <c r="CH17" s="38"/>
      <c r="CI17" s="38"/>
      <c r="CK17" s="38"/>
      <c r="CN17" s="38"/>
      <c r="CO17" s="38"/>
      <c r="CP17" s="38"/>
      <c r="CQ17" s="38"/>
      <c r="CR17" s="89">
        <f t="shared" si="19"/>
        <v>-6000</v>
      </c>
    </row>
    <row r="18" spans="2:96" ht="14.25" customHeight="1" x14ac:dyDescent="0.4">
      <c r="B18" t="s">
        <v>506</v>
      </c>
      <c r="D18" s="113">
        <f t="shared" si="0"/>
        <v>-840000</v>
      </c>
      <c r="E18" s="109"/>
      <c r="F18" s="112">
        <v>-10000</v>
      </c>
      <c r="G18" s="112">
        <f t="shared" ref="G18:Q18" si="89">F18</f>
        <v>-10000</v>
      </c>
      <c r="H18" s="112">
        <f t="shared" si="89"/>
        <v>-10000</v>
      </c>
      <c r="I18" s="112">
        <f t="shared" si="89"/>
        <v>-10000</v>
      </c>
      <c r="J18" s="112">
        <f t="shared" si="89"/>
        <v>-10000</v>
      </c>
      <c r="K18" s="112">
        <f t="shared" si="89"/>
        <v>-10000</v>
      </c>
      <c r="L18" s="112">
        <f t="shared" si="89"/>
        <v>-10000</v>
      </c>
      <c r="M18" s="112">
        <f t="shared" si="89"/>
        <v>-10000</v>
      </c>
      <c r="N18" s="112">
        <f t="shared" si="89"/>
        <v>-10000</v>
      </c>
      <c r="O18" s="112">
        <f t="shared" si="89"/>
        <v>-10000</v>
      </c>
      <c r="P18" s="112">
        <f t="shared" si="89"/>
        <v>-10000</v>
      </c>
      <c r="Q18" s="112">
        <f t="shared" si="89"/>
        <v>-10000</v>
      </c>
      <c r="R18" s="113">
        <f t="shared" si="2"/>
        <v>-120000</v>
      </c>
      <c r="S18" s="112">
        <v>-10000</v>
      </c>
      <c r="T18" s="112">
        <f t="shared" ref="T18:AD18" si="90">S18</f>
        <v>-10000</v>
      </c>
      <c r="U18" s="112">
        <f t="shared" si="90"/>
        <v>-10000</v>
      </c>
      <c r="V18" s="112">
        <f t="shared" si="90"/>
        <v>-10000</v>
      </c>
      <c r="W18" s="112">
        <f t="shared" si="90"/>
        <v>-10000</v>
      </c>
      <c r="X18" s="112">
        <f t="shared" si="90"/>
        <v>-10000</v>
      </c>
      <c r="Y18" s="112">
        <f t="shared" si="90"/>
        <v>-10000</v>
      </c>
      <c r="Z18" s="112">
        <f t="shared" si="90"/>
        <v>-10000</v>
      </c>
      <c r="AA18" s="112">
        <f t="shared" si="90"/>
        <v>-10000</v>
      </c>
      <c r="AB18" s="112">
        <f t="shared" si="90"/>
        <v>-10000</v>
      </c>
      <c r="AC18" s="112">
        <f t="shared" si="90"/>
        <v>-10000</v>
      </c>
      <c r="AD18" s="112">
        <f t="shared" si="90"/>
        <v>-10000</v>
      </c>
      <c r="AE18" s="113">
        <f t="shared" si="5"/>
        <v>-120000</v>
      </c>
      <c r="AF18" s="112">
        <v>-10000</v>
      </c>
      <c r="AG18" s="112">
        <f t="shared" ref="AG18:AQ18" si="91">AF18</f>
        <v>-10000</v>
      </c>
      <c r="AH18" s="112">
        <f t="shared" si="91"/>
        <v>-10000</v>
      </c>
      <c r="AI18" s="112">
        <f t="shared" si="91"/>
        <v>-10000</v>
      </c>
      <c r="AJ18" s="112">
        <f t="shared" si="91"/>
        <v>-10000</v>
      </c>
      <c r="AK18" s="112">
        <f t="shared" si="91"/>
        <v>-10000</v>
      </c>
      <c r="AL18" s="112">
        <f t="shared" si="91"/>
        <v>-10000</v>
      </c>
      <c r="AM18" s="112">
        <f t="shared" si="91"/>
        <v>-10000</v>
      </c>
      <c r="AN18" s="112">
        <f t="shared" si="91"/>
        <v>-10000</v>
      </c>
      <c r="AO18" s="112">
        <f t="shared" si="91"/>
        <v>-10000</v>
      </c>
      <c r="AP18" s="112">
        <f t="shared" si="91"/>
        <v>-10000</v>
      </c>
      <c r="AQ18" s="112">
        <f t="shared" si="91"/>
        <v>-10000</v>
      </c>
      <c r="AR18" s="113">
        <f t="shared" si="7"/>
        <v>-120000</v>
      </c>
      <c r="AS18" s="112">
        <v>-10000</v>
      </c>
      <c r="AT18" s="112">
        <f t="shared" ref="AT18:BD18" si="92">AS18</f>
        <v>-10000</v>
      </c>
      <c r="AU18" s="112">
        <f t="shared" si="92"/>
        <v>-10000</v>
      </c>
      <c r="AV18" s="112">
        <f t="shared" si="92"/>
        <v>-10000</v>
      </c>
      <c r="AW18" s="112">
        <f t="shared" si="92"/>
        <v>-10000</v>
      </c>
      <c r="AX18" s="112">
        <f t="shared" si="92"/>
        <v>-10000</v>
      </c>
      <c r="AY18" s="112">
        <f t="shared" si="92"/>
        <v>-10000</v>
      </c>
      <c r="AZ18" s="112">
        <f t="shared" si="92"/>
        <v>-10000</v>
      </c>
      <c r="BA18" s="112">
        <f t="shared" si="92"/>
        <v>-10000</v>
      </c>
      <c r="BB18" s="112">
        <f t="shared" si="92"/>
        <v>-10000</v>
      </c>
      <c r="BC18" s="112">
        <f t="shared" si="92"/>
        <v>-10000</v>
      </c>
      <c r="BD18" s="112">
        <f t="shared" si="92"/>
        <v>-10000</v>
      </c>
      <c r="BE18" s="113">
        <f t="shared" si="10"/>
        <v>-120000</v>
      </c>
      <c r="BF18" s="112">
        <v>-10000</v>
      </c>
      <c r="BG18" s="112">
        <f t="shared" ref="BG18:BQ18" si="93">BF18</f>
        <v>-10000</v>
      </c>
      <c r="BH18" s="112">
        <f t="shared" si="93"/>
        <v>-10000</v>
      </c>
      <c r="BI18" s="112">
        <f t="shared" si="93"/>
        <v>-10000</v>
      </c>
      <c r="BJ18" s="112">
        <f t="shared" si="93"/>
        <v>-10000</v>
      </c>
      <c r="BK18" s="112">
        <f t="shared" si="93"/>
        <v>-10000</v>
      </c>
      <c r="BL18" s="112">
        <f t="shared" si="93"/>
        <v>-10000</v>
      </c>
      <c r="BM18" s="112">
        <f t="shared" si="93"/>
        <v>-10000</v>
      </c>
      <c r="BN18" s="112">
        <f t="shared" si="93"/>
        <v>-10000</v>
      </c>
      <c r="BO18" s="112">
        <f t="shared" si="93"/>
        <v>-10000</v>
      </c>
      <c r="BP18" s="112">
        <f t="shared" si="93"/>
        <v>-10000</v>
      </c>
      <c r="BQ18" s="112">
        <f t="shared" si="93"/>
        <v>-10000</v>
      </c>
      <c r="BR18" s="113">
        <f t="shared" si="13"/>
        <v>-120000</v>
      </c>
      <c r="BS18" s="112">
        <v>-10000</v>
      </c>
      <c r="BT18" s="112">
        <f t="shared" ref="BT18:CD18" si="94">BS18</f>
        <v>-10000</v>
      </c>
      <c r="BU18" s="112">
        <f t="shared" si="94"/>
        <v>-10000</v>
      </c>
      <c r="BV18" s="112">
        <f t="shared" si="94"/>
        <v>-10000</v>
      </c>
      <c r="BW18" s="112">
        <f t="shared" si="94"/>
        <v>-10000</v>
      </c>
      <c r="BX18" s="112">
        <f t="shared" si="94"/>
        <v>-10000</v>
      </c>
      <c r="BY18" s="112">
        <f t="shared" si="94"/>
        <v>-10000</v>
      </c>
      <c r="BZ18" s="112">
        <f t="shared" si="94"/>
        <v>-10000</v>
      </c>
      <c r="CA18" s="112">
        <f t="shared" si="94"/>
        <v>-10000</v>
      </c>
      <c r="CB18" s="112">
        <f t="shared" si="94"/>
        <v>-10000</v>
      </c>
      <c r="CC18" s="112">
        <f t="shared" si="94"/>
        <v>-10000</v>
      </c>
      <c r="CD18" s="112">
        <f t="shared" si="94"/>
        <v>-10000</v>
      </c>
      <c r="CE18" s="113">
        <f t="shared" si="16"/>
        <v>-120000</v>
      </c>
      <c r="CF18" s="112">
        <v>-10000</v>
      </c>
      <c r="CG18" s="112">
        <f t="shared" ref="CG18:CQ18" si="95">CF18</f>
        <v>-10000</v>
      </c>
      <c r="CH18" s="112">
        <f t="shared" si="95"/>
        <v>-10000</v>
      </c>
      <c r="CI18" s="112">
        <f t="shared" si="95"/>
        <v>-10000</v>
      </c>
      <c r="CJ18" s="112">
        <f t="shared" si="95"/>
        <v>-10000</v>
      </c>
      <c r="CK18" s="112">
        <f t="shared" si="95"/>
        <v>-10000</v>
      </c>
      <c r="CL18" s="112">
        <f t="shared" si="95"/>
        <v>-10000</v>
      </c>
      <c r="CM18" s="112">
        <f t="shared" si="95"/>
        <v>-10000</v>
      </c>
      <c r="CN18" s="112">
        <f t="shared" si="95"/>
        <v>-10000</v>
      </c>
      <c r="CO18" s="112">
        <f t="shared" si="95"/>
        <v>-10000</v>
      </c>
      <c r="CP18" s="112">
        <f t="shared" si="95"/>
        <v>-10000</v>
      </c>
      <c r="CQ18" s="112">
        <f t="shared" si="95"/>
        <v>-10000</v>
      </c>
      <c r="CR18" s="113">
        <f t="shared" si="19"/>
        <v>-120000</v>
      </c>
    </row>
    <row r="19" spans="2:96" ht="14.25" customHeight="1" x14ac:dyDescent="0.4">
      <c r="B19" s="24" t="s">
        <v>507</v>
      </c>
      <c r="D19" s="49">
        <f>SUM(D4:D18)</f>
        <v>-13637866.027574144</v>
      </c>
      <c r="F19" s="39">
        <f t="shared" ref="F19:Q19" si="96">SUM(F4:F18)</f>
        <v>-125175</v>
      </c>
      <c r="G19" s="39">
        <f t="shared" si="96"/>
        <v>-120175</v>
      </c>
      <c r="H19" s="39">
        <f t="shared" si="96"/>
        <v>-115175</v>
      </c>
      <c r="I19" s="39">
        <f t="shared" si="96"/>
        <v>-115175</v>
      </c>
      <c r="J19" s="39">
        <f t="shared" si="96"/>
        <v>-115175</v>
      </c>
      <c r="K19" s="39">
        <f t="shared" si="96"/>
        <v>-115475</v>
      </c>
      <c r="L19" s="39">
        <f t="shared" si="96"/>
        <v>-115175</v>
      </c>
      <c r="M19" s="39">
        <f t="shared" si="96"/>
        <v>-115175</v>
      </c>
      <c r="N19" s="39">
        <f t="shared" si="96"/>
        <v>-115175</v>
      </c>
      <c r="O19" s="39">
        <f t="shared" si="96"/>
        <v>-115175</v>
      </c>
      <c r="P19" s="39">
        <f t="shared" si="96"/>
        <v>-115175</v>
      </c>
      <c r="Q19" s="39">
        <f t="shared" si="96"/>
        <v>-115175</v>
      </c>
      <c r="R19" s="49">
        <f t="shared" si="2"/>
        <v>-1397400</v>
      </c>
      <c r="S19" s="39">
        <f t="shared" ref="S19:AD19" si="97">SUM(S4:S18)</f>
        <v>-133702</v>
      </c>
      <c r="T19" s="39">
        <f t="shared" si="97"/>
        <v>-128702</v>
      </c>
      <c r="U19" s="39">
        <f t="shared" si="97"/>
        <v>-130202</v>
      </c>
      <c r="V19" s="39">
        <f t="shared" si="97"/>
        <v>-128702</v>
      </c>
      <c r="W19" s="39">
        <f t="shared" si="97"/>
        <v>-128702</v>
      </c>
      <c r="X19" s="39">
        <f t="shared" si="97"/>
        <v>-130202</v>
      </c>
      <c r="Y19" s="39">
        <f t="shared" si="97"/>
        <v>-128702</v>
      </c>
      <c r="Z19" s="39">
        <f t="shared" si="97"/>
        <v>-128702</v>
      </c>
      <c r="AA19" s="39">
        <f t="shared" si="97"/>
        <v>-130202</v>
      </c>
      <c r="AB19" s="39">
        <f t="shared" si="97"/>
        <v>-128702</v>
      </c>
      <c r="AC19" s="39">
        <f t="shared" si="97"/>
        <v>-128702</v>
      </c>
      <c r="AD19" s="39">
        <f t="shared" si="97"/>
        <v>-130202</v>
      </c>
      <c r="AE19" s="49">
        <f t="shared" si="5"/>
        <v>-1555424</v>
      </c>
      <c r="AF19" s="39">
        <f t="shared" ref="AF19:AQ19" si="98">SUM(AF4:AF18)</f>
        <v>-166247.08000000002</v>
      </c>
      <c r="AG19" s="39">
        <f t="shared" si="98"/>
        <v>-160247.08000000002</v>
      </c>
      <c r="AH19" s="39">
        <f t="shared" si="98"/>
        <v>-161747.08000000002</v>
      </c>
      <c r="AI19" s="39">
        <f t="shared" si="98"/>
        <v>-160247.08000000002</v>
      </c>
      <c r="AJ19" s="39">
        <f t="shared" si="98"/>
        <v>-160247.08000000002</v>
      </c>
      <c r="AK19" s="39">
        <f t="shared" si="98"/>
        <v>-161747.08000000002</v>
      </c>
      <c r="AL19" s="39">
        <f t="shared" si="98"/>
        <v>-160247.08000000002</v>
      </c>
      <c r="AM19" s="39">
        <f t="shared" si="98"/>
        <v>-160247.08000000002</v>
      </c>
      <c r="AN19" s="39">
        <f t="shared" si="98"/>
        <v>-161747.08000000002</v>
      </c>
      <c r="AO19" s="39">
        <f t="shared" si="98"/>
        <v>-160247.08000000002</v>
      </c>
      <c r="AP19" s="39">
        <f t="shared" si="98"/>
        <v>-160247.08000000002</v>
      </c>
      <c r="AQ19" s="39">
        <f t="shared" si="98"/>
        <v>-161747.08000000002</v>
      </c>
      <c r="AR19" s="49">
        <f t="shared" si="7"/>
        <v>-1934964.9600000007</v>
      </c>
      <c r="AS19" s="39">
        <f t="shared" ref="AS19:BD19" si="99">SUM(AS4:AS18)</f>
        <v>-175436.9632</v>
      </c>
      <c r="AT19" s="39">
        <f t="shared" si="99"/>
        <v>-169436.9632</v>
      </c>
      <c r="AU19" s="39">
        <f t="shared" si="99"/>
        <v>-170936.9632</v>
      </c>
      <c r="AV19" s="39">
        <f t="shared" si="99"/>
        <v>-169436.9632</v>
      </c>
      <c r="AW19" s="39">
        <f t="shared" si="99"/>
        <v>-169436.9632</v>
      </c>
      <c r="AX19" s="39">
        <f t="shared" si="99"/>
        <v>-170936.9632</v>
      </c>
      <c r="AY19" s="39">
        <f t="shared" si="99"/>
        <v>-169436.9632</v>
      </c>
      <c r="AZ19" s="39">
        <f t="shared" si="99"/>
        <v>-169436.9632</v>
      </c>
      <c r="BA19" s="39">
        <f t="shared" si="99"/>
        <v>-170936.9632</v>
      </c>
      <c r="BB19" s="39">
        <f t="shared" si="99"/>
        <v>-169436.9632</v>
      </c>
      <c r="BC19" s="39">
        <f t="shared" si="99"/>
        <v>-169436.9632</v>
      </c>
      <c r="BD19" s="39">
        <f t="shared" si="99"/>
        <v>-170936.9632</v>
      </c>
      <c r="BE19" s="49">
        <f t="shared" si="10"/>
        <v>-2045243.5584000004</v>
      </c>
      <c r="BF19" s="39">
        <f t="shared" ref="BF19:BQ19" si="100">SUM(BF4:BF18)</f>
        <v>-181814.44172800001</v>
      </c>
      <c r="BG19" s="39">
        <f t="shared" si="100"/>
        <v>-175814.44172800001</v>
      </c>
      <c r="BH19" s="39">
        <f t="shared" si="100"/>
        <v>-178071.561728</v>
      </c>
      <c r="BI19" s="39">
        <f t="shared" si="100"/>
        <v>-176571.561728</v>
      </c>
      <c r="BJ19" s="39">
        <f t="shared" si="100"/>
        <v>-177358.96652800002</v>
      </c>
      <c r="BK19" s="39">
        <f t="shared" si="100"/>
        <v>-178858.96652800002</v>
      </c>
      <c r="BL19" s="39">
        <f t="shared" si="100"/>
        <v>-178177.86752</v>
      </c>
      <c r="BM19" s="39">
        <f t="shared" si="100"/>
        <v>-178177.86752</v>
      </c>
      <c r="BN19" s="39">
        <f t="shared" si="100"/>
        <v>-180529.52455168002</v>
      </c>
      <c r="BO19" s="39">
        <f t="shared" si="100"/>
        <v>-179029.52455168002</v>
      </c>
      <c r="BP19" s="39">
        <f t="shared" si="100"/>
        <v>-179915.24786462722</v>
      </c>
      <c r="BQ19" s="39">
        <f t="shared" si="100"/>
        <v>-181415.24786462722</v>
      </c>
      <c r="BR19" s="49">
        <f t="shared" si="13"/>
        <v>-2145735.2198406151</v>
      </c>
      <c r="BS19" s="39">
        <f t="shared" ref="BS19:CD19" si="101">SUM(BS4:BS18)</f>
        <v>-192218.06737473537</v>
      </c>
      <c r="BT19" s="39">
        <f t="shared" si="101"/>
        <v>-186218.06737473537</v>
      </c>
      <c r="BU19" s="39">
        <f t="shared" si="101"/>
        <v>-187718.06737473537</v>
      </c>
      <c r="BV19" s="39">
        <f t="shared" si="101"/>
        <v>-186218.06737473537</v>
      </c>
      <c r="BW19" s="39">
        <f t="shared" si="101"/>
        <v>-186218.06737473537</v>
      </c>
      <c r="BX19" s="39">
        <f t="shared" si="101"/>
        <v>-187718.06737473537</v>
      </c>
      <c r="BY19" s="39">
        <f t="shared" si="101"/>
        <v>-186218.06737473537</v>
      </c>
      <c r="BZ19" s="39">
        <f t="shared" si="101"/>
        <v>-186218.06737473537</v>
      </c>
      <c r="CA19" s="39">
        <f t="shared" si="101"/>
        <v>-187718.06737473537</v>
      </c>
      <c r="CB19" s="39">
        <f t="shared" si="101"/>
        <v>-186218.06737473537</v>
      </c>
      <c r="CC19" s="39">
        <f t="shared" si="101"/>
        <v>-186218.06737473537</v>
      </c>
      <c r="CD19" s="39">
        <f t="shared" si="101"/>
        <v>-187718.06737473537</v>
      </c>
      <c r="CE19" s="49">
        <f t="shared" si="16"/>
        <v>-2246616.8084968245</v>
      </c>
      <c r="CF19" s="39">
        <f t="shared" ref="CF19:CQ19" si="102">SUM(CF4:CF18)</f>
        <v>-197706.79006972481</v>
      </c>
      <c r="CG19" s="39">
        <f t="shared" si="102"/>
        <v>-191706.79006972481</v>
      </c>
      <c r="CH19" s="39">
        <f t="shared" si="102"/>
        <v>-193206.79006972481</v>
      </c>
      <c r="CI19" s="39">
        <f t="shared" si="102"/>
        <v>-191706.79006972481</v>
      </c>
      <c r="CJ19" s="39">
        <f t="shared" si="102"/>
        <v>-191706.79006972481</v>
      </c>
      <c r="CK19" s="39">
        <f t="shared" si="102"/>
        <v>-193206.79006972481</v>
      </c>
      <c r="CL19" s="39">
        <f t="shared" si="102"/>
        <v>-191706.79006972481</v>
      </c>
      <c r="CM19" s="39">
        <f t="shared" si="102"/>
        <v>-191706.79006972481</v>
      </c>
      <c r="CN19" s="39">
        <f t="shared" si="102"/>
        <v>-193206.79006972481</v>
      </c>
      <c r="CO19" s="39">
        <f t="shared" si="102"/>
        <v>-191706.79006972481</v>
      </c>
      <c r="CP19" s="39">
        <f t="shared" si="102"/>
        <v>-191706.79006972481</v>
      </c>
      <c r="CQ19" s="39">
        <f t="shared" si="102"/>
        <v>-193206.79006972481</v>
      </c>
      <c r="CR19" s="49">
        <f t="shared" si="19"/>
        <v>-2312481.4808366983</v>
      </c>
    </row>
    <row r="20" spans="2:96" ht="14.25" customHeight="1" x14ac:dyDescent="0.4">
      <c r="B20" s="24"/>
      <c r="D20" s="49"/>
      <c r="F20" s="39"/>
      <c r="G20" s="39"/>
      <c r="H20" s="39"/>
      <c r="I20" s="39"/>
      <c r="J20" s="39"/>
      <c r="K20" s="39"/>
      <c r="L20" s="39"/>
      <c r="M20" s="39"/>
      <c r="N20" s="39"/>
      <c r="O20" s="39"/>
      <c r="P20" s="39"/>
      <c r="Q20" s="39"/>
      <c r="R20" s="49"/>
      <c r="AE20" s="24"/>
      <c r="AR20" s="24"/>
      <c r="BE20" s="24"/>
      <c r="BR20" s="24"/>
      <c r="CE20" s="24"/>
      <c r="CR20" s="24"/>
    </row>
    <row r="21" spans="2:96" ht="14.25" customHeight="1" x14ac:dyDescent="0.4">
      <c r="B21" s="24"/>
      <c r="D21" s="49"/>
      <c r="R21" s="24"/>
      <c r="AE21" s="24"/>
      <c r="AR21" s="24"/>
      <c r="BE21" s="24"/>
      <c r="BR21" s="24"/>
      <c r="CE21" s="24"/>
      <c r="CR21" s="24"/>
    </row>
    <row r="22" spans="2:96" ht="14.25" customHeight="1" x14ac:dyDescent="0.4">
      <c r="D22" s="49"/>
      <c r="R22" s="24"/>
      <c r="AE22" s="24"/>
      <c r="AR22" s="24"/>
      <c r="BE22" s="24"/>
      <c r="BR22" s="24"/>
      <c r="CE22" s="24"/>
      <c r="CR22" s="24"/>
    </row>
    <row r="23" spans="2:96" ht="14.25" customHeight="1" x14ac:dyDescent="0.4">
      <c r="D23" s="49"/>
      <c r="R23" s="24"/>
      <c r="AE23" s="24"/>
      <c r="AR23" s="24"/>
      <c r="BE23" s="24"/>
      <c r="BR23" s="24"/>
      <c r="CE23" s="24"/>
      <c r="CR23" s="24"/>
    </row>
    <row r="24" spans="2:96" ht="14.25" customHeight="1" x14ac:dyDescent="0.4">
      <c r="D24" s="49"/>
      <c r="R24" s="24"/>
      <c r="AE24" s="24"/>
      <c r="AR24" s="24"/>
      <c r="BE24" s="24"/>
      <c r="BR24" s="24"/>
      <c r="CE24" s="24"/>
      <c r="CR24" s="24"/>
    </row>
    <row r="25" spans="2:96" ht="14.25" customHeight="1" x14ac:dyDescent="0.4">
      <c r="D25" s="49"/>
      <c r="R25" s="24"/>
      <c r="AE25" s="24"/>
      <c r="AR25" s="24"/>
      <c r="BE25" s="24"/>
      <c r="BR25" s="24"/>
      <c r="CE25" s="24"/>
      <c r="CR25" s="24"/>
    </row>
    <row r="26" spans="2:96" ht="14.25" customHeight="1" x14ac:dyDescent="0.4">
      <c r="D26" s="49"/>
      <c r="R26" s="24"/>
      <c r="AE26" s="24"/>
      <c r="AR26" s="24"/>
      <c r="BE26" s="24"/>
      <c r="BR26" s="24"/>
      <c r="CE26" s="24"/>
      <c r="CR26" s="24"/>
    </row>
    <row r="27" spans="2:96" ht="14.25" customHeight="1" x14ac:dyDescent="0.4">
      <c r="D27" s="49"/>
      <c r="R27" s="24"/>
      <c r="AE27" s="24"/>
      <c r="AR27" s="24"/>
      <c r="BE27" s="24"/>
      <c r="BR27" s="24"/>
      <c r="CE27" s="24"/>
      <c r="CR27" s="24"/>
    </row>
    <row r="28" spans="2:96" ht="14.25" customHeight="1" x14ac:dyDescent="0.4">
      <c r="D28" s="49"/>
      <c r="R28" s="24"/>
      <c r="AE28" s="24"/>
      <c r="AR28" s="24"/>
      <c r="BE28" s="24"/>
      <c r="BR28" s="24"/>
      <c r="CE28" s="24"/>
      <c r="CR28" s="24"/>
    </row>
    <row r="29" spans="2:96" ht="14.25" customHeight="1" x14ac:dyDescent="0.4">
      <c r="D29" s="49"/>
      <c r="R29" s="24"/>
      <c r="AE29" s="24"/>
      <c r="AR29" s="24"/>
      <c r="BE29" s="24"/>
      <c r="BR29" s="24"/>
      <c r="CE29" s="24"/>
      <c r="CR29" s="24"/>
    </row>
    <row r="30" spans="2:96" ht="14.25" customHeight="1" x14ac:dyDescent="0.4">
      <c r="D30" s="49"/>
      <c r="R30" s="24"/>
      <c r="AE30" s="24"/>
      <c r="AR30" s="24"/>
      <c r="BE30" s="24"/>
      <c r="BR30" s="24"/>
      <c r="CE30" s="24"/>
      <c r="CR30" s="24"/>
    </row>
    <row r="31" spans="2:96" ht="14.25" customHeight="1" x14ac:dyDescent="0.4">
      <c r="D31" s="49"/>
      <c r="R31" s="24"/>
      <c r="AE31" s="24"/>
      <c r="AR31" s="24"/>
      <c r="BE31" s="24"/>
      <c r="BR31" s="24"/>
      <c r="CE31" s="24"/>
      <c r="CR31" s="24"/>
    </row>
    <row r="32" spans="2:96" ht="14.25" customHeight="1" x14ac:dyDescent="0.4">
      <c r="D32" s="49"/>
      <c r="R32" s="24"/>
      <c r="AE32" s="24"/>
      <c r="AR32" s="24"/>
      <c r="BE32" s="24"/>
      <c r="BR32" s="24"/>
      <c r="CE32" s="24"/>
      <c r="CR32" s="24"/>
    </row>
    <row r="33" spans="4:96" ht="14.25" customHeight="1" x14ac:dyDescent="0.4">
      <c r="D33" s="49"/>
      <c r="R33" s="24"/>
      <c r="AE33" s="24"/>
      <c r="AR33" s="24"/>
      <c r="BE33" s="24"/>
      <c r="BR33" s="24"/>
      <c r="CE33" s="24"/>
      <c r="CR33" s="24"/>
    </row>
    <row r="34" spans="4:96" ht="14.25" customHeight="1" x14ac:dyDescent="0.4">
      <c r="D34" s="49"/>
      <c r="R34" s="24"/>
      <c r="AE34" s="24"/>
      <c r="AR34" s="24"/>
      <c r="BE34" s="24"/>
      <c r="BR34" s="24"/>
      <c r="CE34" s="24"/>
      <c r="CR34" s="24"/>
    </row>
    <row r="35" spans="4:96" ht="14.25" customHeight="1" x14ac:dyDescent="0.4">
      <c r="D35" s="49"/>
      <c r="R35" s="24"/>
      <c r="AE35" s="24"/>
      <c r="AR35" s="24"/>
      <c r="BE35" s="24"/>
      <c r="BR35" s="24"/>
      <c r="CE35" s="24"/>
      <c r="CR35" s="24"/>
    </row>
    <row r="36" spans="4:96" ht="14.25" customHeight="1" x14ac:dyDescent="0.4">
      <c r="D36" s="49"/>
      <c r="R36" s="24"/>
      <c r="AE36" s="24"/>
      <c r="AR36" s="24"/>
      <c r="BE36" s="24"/>
      <c r="BR36" s="24"/>
      <c r="CE36" s="24"/>
      <c r="CR36" s="24"/>
    </row>
    <row r="37" spans="4:96" ht="14.25" customHeight="1" x14ac:dyDescent="0.4">
      <c r="D37" s="49"/>
      <c r="R37" s="24"/>
      <c r="AE37" s="24"/>
      <c r="AR37" s="24"/>
      <c r="BE37" s="24"/>
      <c r="BR37" s="24"/>
      <c r="CE37" s="24"/>
      <c r="CR37" s="24"/>
    </row>
    <row r="38" spans="4:96" ht="14.25" customHeight="1" x14ac:dyDescent="0.4">
      <c r="D38" s="49"/>
      <c r="R38" s="24"/>
      <c r="AE38" s="24"/>
      <c r="AR38" s="24"/>
      <c r="BE38" s="24"/>
      <c r="BR38" s="24"/>
      <c r="CE38" s="24"/>
      <c r="CR38" s="24"/>
    </row>
    <row r="39" spans="4:96" ht="14.25" customHeight="1" x14ac:dyDescent="0.4">
      <c r="D39" s="49"/>
      <c r="R39" s="24"/>
      <c r="AE39" s="24"/>
      <c r="AR39" s="24"/>
      <c r="BE39" s="24"/>
      <c r="BR39" s="24"/>
      <c r="CE39" s="24"/>
      <c r="CR39" s="24"/>
    </row>
    <row r="40" spans="4:96" ht="14.25" customHeight="1" x14ac:dyDescent="0.4">
      <c r="D40" s="49"/>
      <c r="R40" s="24"/>
      <c r="AE40" s="24"/>
      <c r="AR40" s="24"/>
      <c r="BE40" s="24"/>
      <c r="BR40" s="24"/>
      <c r="CE40" s="24"/>
      <c r="CR40" s="24"/>
    </row>
    <row r="41" spans="4:96" ht="14.25" customHeight="1" x14ac:dyDescent="0.4">
      <c r="D41" s="49"/>
      <c r="R41" s="24"/>
      <c r="AE41" s="24"/>
      <c r="AR41" s="24"/>
      <c r="BE41" s="24"/>
      <c r="BR41" s="24"/>
      <c r="CE41" s="24"/>
      <c r="CR41" s="24"/>
    </row>
    <row r="42" spans="4:96" ht="14.25" customHeight="1" x14ac:dyDescent="0.4">
      <c r="D42" s="49"/>
      <c r="R42" s="24"/>
      <c r="AE42" s="24"/>
      <c r="AR42" s="24"/>
      <c r="BE42" s="24"/>
      <c r="BR42" s="24"/>
      <c r="CE42" s="24"/>
      <c r="CR42" s="24"/>
    </row>
    <row r="43" spans="4:96" ht="14.25" customHeight="1" x14ac:dyDescent="0.4">
      <c r="D43" s="49"/>
      <c r="R43" s="24"/>
      <c r="AE43" s="24"/>
      <c r="AR43" s="24"/>
      <c r="BE43" s="24"/>
      <c r="BR43" s="24"/>
      <c r="CE43" s="24"/>
      <c r="CR43" s="24"/>
    </row>
    <row r="44" spans="4:96" ht="14.25" customHeight="1" x14ac:dyDescent="0.4">
      <c r="D44" s="49"/>
      <c r="R44" s="24"/>
      <c r="AE44" s="24"/>
      <c r="AR44" s="24"/>
      <c r="BE44" s="24"/>
      <c r="BR44" s="24"/>
      <c r="CE44" s="24"/>
      <c r="CR44" s="24"/>
    </row>
    <row r="45" spans="4:96" ht="14.25" customHeight="1" x14ac:dyDescent="0.4">
      <c r="D45" s="49"/>
      <c r="R45" s="24"/>
      <c r="AE45" s="24"/>
      <c r="AR45" s="24"/>
      <c r="BE45" s="24"/>
      <c r="BR45" s="24"/>
      <c r="CE45" s="24"/>
      <c r="CR45" s="24"/>
    </row>
    <row r="46" spans="4:96" ht="14.25" customHeight="1" x14ac:dyDescent="0.4">
      <c r="D46" s="49"/>
      <c r="R46" s="24"/>
      <c r="AE46" s="24"/>
      <c r="AR46" s="24"/>
      <c r="BE46" s="24"/>
      <c r="BR46" s="24"/>
      <c r="CE46" s="24"/>
      <c r="CR46" s="24"/>
    </row>
    <row r="47" spans="4:96" ht="14.25" customHeight="1" x14ac:dyDescent="0.4">
      <c r="D47" s="49"/>
      <c r="R47" s="24"/>
      <c r="AE47" s="24"/>
      <c r="AR47" s="24"/>
      <c r="BE47" s="24"/>
      <c r="BR47" s="24"/>
      <c r="CE47" s="24"/>
      <c r="CR47" s="24"/>
    </row>
    <row r="48" spans="4:96" ht="14.25" customHeight="1" x14ac:dyDescent="0.4">
      <c r="D48" s="49"/>
      <c r="R48" s="24"/>
      <c r="AE48" s="24"/>
      <c r="AR48" s="24"/>
      <c r="BE48" s="24"/>
      <c r="BR48" s="24"/>
      <c r="CE48" s="24"/>
      <c r="CR48" s="24"/>
    </row>
    <row r="49" spans="4:96" ht="14.25" customHeight="1" x14ac:dyDescent="0.4">
      <c r="D49" s="49"/>
      <c r="R49" s="24"/>
      <c r="AE49" s="24"/>
      <c r="AR49" s="24"/>
      <c r="BE49" s="24"/>
      <c r="BR49" s="24"/>
      <c r="CE49" s="24"/>
      <c r="CR49" s="24"/>
    </row>
    <row r="50" spans="4:96" ht="14.25" customHeight="1" x14ac:dyDescent="0.4">
      <c r="D50" s="49"/>
      <c r="R50" s="24"/>
      <c r="AE50" s="24"/>
      <c r="AR50" s="24"/>
      <c r="BE50" s="24"/>
      <c r="BR50" s="24"/>
      <c r="CE50" s="24"/>
      <c r="CR50" s="24"/>
    </row>
    <row r="51" spans="4:96" ht="14.25" customHeight="1" x14ac:dyDescent="0.4">
      <c r="D51" s="49"/>
      <c r="R51" s="24"/>
      <c r="AE51" s="24"/>
      <c r="AR51" s="24"/>
      <c r="BE51" s="24"/>
      <c r="BR51" s="24"/>
      <c r="CE51" s="24"/>
      <c r="CR51" s="24"/>
    </row>
    <row r="52" spans="4:96" ht="14.25" customHeight="1" x14ac:dyDescent="0.4">
      <c r="D52" s="49"/>
      <c r="R52" s="24"/>
      <c r="AE52" s="24"/>
      <c r="AR52" s="24"/>
      <c r="BE52" s="24"/>
      <c r="BR52" s="24"/>
      <c r="CE52" s="24"/>
      <c r="CR52" s="24"/>
    </row>
    <row r="53" spans="4:96" ht="14.25" customHeight="1" x14ac:dyDescent="0.4">
      <c r="D53" s="49"/>
      <c r="R53" s="24"/>
      <c r="AE53" s="24"/>
      <c r="AR53" s="24"/>
      <c r="BE53" s="24"/>
      <c r="BR53" s="24"/>
      <c r="CE53" s="24"/>
      <c r="CR53" s="24"/>
    </row>
    <row r="54" spans="4:96" ht="14.25" customHeight="1" x14ac:dyDescent="0.4">
      <c r="D54" s="49"/>
      <c r="R54" s="24"/>
      <c r="AE54" s="24"/>
      <c r="AR54" s="24"/>
      <c r="BE54" s="24"/>
      <c r="BR54" s="24"/>
      <c r="CE54" s="24"/>
      <c r="CR54" s="24"/>
    </row>
    <row r="55" spans="4:96" ht="14.25" customHeight="1" x14ac:dyDescent="0.4">
      <c r="D55" s="49"/>
      <c r="R55" s="24"/>
      <c r="AE55" s="24"/>
      <c r="AR55" s="24"/>
      <c r="BE55" s="24"/>
      <c r="BR55" s="24"/>
      <c r="CE55" s="24"/>
      <c r="CR55" s="24"/>
    </row>
    <row r="56" spans="4:96" ht="14.25" customHeight="1" x14ac:dyDescent="0.4">
      <c r="D56" s="49"/>
      <c r="R56" s="24"/>
      <c r="AE56" s="24"/>
      <c r="AR56" s="24"/>
      <c r="BE56" s="24"/>
      <c r="BR56" s="24"/>
      <c r="CE56" s="24"/>
      <c r="CR56" s="24"/>
    </row>
    <row r="57" spans="4:96" ht="14.25" customHeight="1" x14ac:dyDescent="0.4">
      <c r="D57" s="49"/>
      <c r="R57" s="24"/>
      <c r="AE57" s="24"/>
      <c r="AR57" s="24"/>
      <c r="BE57" s="24"/>
      <c r="BR57" s="24"/>
      <c r="CE57" s="24"/>
      <c r="CR57" s="24"/>
    </row>
    <row r="58" spans="4:96" ht="14.25" customHeight="1" x14ac:dyDescent="0.4">
      <c r="D58" s="49"/>
      <c r="R58" s="24"/>
      <c r="AE58" s="24"/>
      <c r="AR58" s="24"/>
      <c r="BE58" s="24"/>
      <c r="BR58" s="24"/>
      <c r="CE58" s="24"/>
      <c r="CR58" s="24"/>
    </row>
    <row r="59" spans="4:96" ht="14.25" customHeight="1" x14ac:dyDescent="0.4">
      <c r="D59" s="49"/>
      <c r="R59" s="24"/>
      <c r="AE59" s="24"/>
      <c r="AR59" s="24"/>
      <c r="BE59" s="24"/>
      <c r="BR59" s="24"/>
      <c r="CE59" s="24"/>
      <c r="CR59" s="24"/>
    </row>
    <row r="60" spans="4:96" ht="14.25" customHeight="1" x14ac:dyDescent="0.4">
      <c r="D60" s="49"/>
      <c r="R60" s="24"/>
      <c r="AE60" s="24"/>
      <c r="AR60" s="24"/>
      <c r="BE60" s="24"/>
      <c r="BR60" s="24"/>
      <c r="CE60" s="24"/>
      <c r="CR60" s="24"/>
    </row>
    <row r="61" spans="4:96" ht="14.25" customHeight="1" x14ac:dyDescent="0.4">
      <c r="D61" s="49"/>
      <c r="R61" s="24"/>
      <c r="AE61" s="24"/>
      <c r="AR61" s="24"/>
      <c r="BE61" s="24"/>
      <c r="BR61" s="24"/>
      <c r="CE61" s="24"/>
      <c r="CR61" s="24"/>
    </row>
    <row r="62" spans="4:96" ht="14.25" customHeight="1" x14ac:dyDescent="0.4">
      <c r="D62" s="49"/>
      <c r="R62" s="24"/>
      <c r="AE62" s="24"/>
      <c r="AR62" s="24"/>
      <c r="BE62" s="24"/>
      <c r="BR62" s="24"/>
      <c r="CE62" s="24"/>
      <c r="CR62" s="24"/>
    </row>
    <row r="63" spans="4:96" ht="14.25" customHeight="1" x14ac:dyDescent="0.4">
      <c r="D63" s="49"/>
      <c r="R63" s="24"/>
      <c r="AE63" s="24"/>
      <c r="AR63" s="24"/>
      <c r="BE63" s="24"/>
      <c r="BR63" s="24"/>
      <c r="CE63" s="24"/>
      <c r="CR63" s="24"/>
    </row>
    <row r="64" spans="4:96" ht="14.25" customHeight="1" x14ac:dyDescent="0.4">
      <c r="D64" s="49"/>
      <c r="R64" s="24"/>
      <c r="AE64" s="24"/>
      <c r="AR64" s="24"/>
      <c r="BE64" s="24"/>
      <c r="BR64" s="24"/>
      <c r="CE64" s="24"/>
      <c r="CR64" s="24"/>
    </row>
    <row r="65" spans="4:96" ht="14.25" customHeight="1" x14ac:dyDescent="0.4">
      <c r="D65" s="49"/>
      <c r="R65" s="24"/>
      <c r="AE65" s="24"/>
      <c r="AR65" s="24"/>
      <c r="BE65" s="24"/>
      <c r="BR65" s="24"/>
      <c r="CE65" s="24"/>
      <c r="CR65" s="24"/>
    </row>
    <row r="66" spans="4:96" ht="14.25" customHeight="1" x14ac:dyDescent="0.4">
      <c r="D66" s="49"/>
      <c r="R66" s="24"/>
      <c r="AE66" s="24"/>
      <c r="AR66" s="24"/>
      <c r="BE66" s="24"/>
      <c r="BR66" s="24"/>
      <c r="CE66" s="24"/>
      <c r="CR66" s="24"/>
    </row>
    <row r="67" spans="4:96" ht="14.25" customHeight="1" x14ac:dyDescent="0.4">
      <c r="D67" s="49"/>
      <c r="R67" s="24"/>
      <c r="AE67" s="24"/>
      <c r="AR67" s="24"/>
      <c r="BE67" s="24"/>
      <c r="BR67" s="24"/>
      <c r="CE67" s="24"/>
      <c r="CR67" s="24"/>
    </row>
    <row r="68" spans="4:96" ht="14.25" customHeight="1" x14ac:dyDescent="0.4">
      <c r="D68" s="49"/>
      <c r="R68" s="24"/>
      <c r="AE68" s="24"/>
      <c r="AR68" s="24"/>
      <c r="BE68" s="24"/>
      <c r="BR68" s="24"/>
      <c r="CE68" s="24"/>
      <c r="CR68" s="24"/>
    </row>
    <row r="69" spans="4:96" ht="14.25" customHeight="1" x14ac:dyDescent="0.4">
      <c r="D69" s="49"/>
      <c r="R69" s="24"/>
      <c r="AE69" s="24"/>
      <c r="AR69" s="24"/>
      <c r="BE69" s="24"/>
      <c r="BR69" s="24"/>
      <c r="CE69" s="24"/>
      <c r="CR69" s="24"/>
    </row>
    <row r="70" spans="4:96" ht="14.25" customHeight="1" x14ac:dyDescent="0.4">
      <c r="D70" s="49"/>
      <c r="R70" s="24"/>
      <c r="AE70" s="24"/>
      <c r="AR70" s="24"/>
      <c r="BE70" s="24"/>
      <c r="BR70" s="24"/>
      <c r="CE70" s="24"/>
      <c r="CR70" s="24"/>
    </row>
    <row r="71" spans="4:96" ht="14.25" customHeight="1" x14ac:dyDescent="0.4">
      <c r="D71" s="49"/>
      <c r="R71" s="24"/>
      <c r="AE71" s="24"/>
      <c r="AR71" s="24"/>
      <c r="BE71" s="24"/>
      <c r="BR71" s="24"/>
      <c r="CE71" s="24"/>
      <c r="CR71" s="24"/>
    </row>
    <row r="72" spans="4:96" ht="14.25" customHeight="1" x14ac:dyDescent="0.4">
      <c r="D72" s="49"/>
      <c r="R72" s="24"/>
      <c r="AE72" s="24"/>
      <c r="AR72" s="24"/>
      <c r="BE72" s="24"/>
      <c r="BR72" s="24"/>
      <c r="CE72" s="24"/>
      <c r="CR72" s="24"/>
    </row>
    <row r="73" spans="4:96" ht="14.25" customHeight="1" x14ac:dyDescent="0.4">
      <c r="D73" s="49"/>
      <c r="R73" s="24"/>
      <c r="AE73" s="24"/>
      <c r="AR73" s="24"/>
      <c r="BE73" s="24"/>
      <c r="BR73" s="24"/>
      <c r="CE73" s="24"/>
      <c r="CR73" s="24"/>
    </row>
    <row r="74" spans="4:96" ht="14.25" customHeight="1" x14ac:dyDescent="0.4">
      <c r="D74" s="49"/>
      <c r="R74" s="24"/>
      <c r="AE74" s="24"/>
      <c r="AR74" s="24"/>
      <c r="BE74" s="24"/>
      <c r="BR74" s="24"/>
      <c r="CE74" s="24"/>
      <c r="CR74" s="24"/>
    </row>
    <row r="75" spans="4:96" ht="14.25" customHeight="1" x14ac:dyDescent="0.4">
      <c r="D75" s="49"/>
      <c r="R75" s="24"/>
      <c r="AE75" s="24"/>
      <c r="AR75" s="24"/>
      <c r="BE75" s="24"/>
      <c r="BR75" s="24"/>
      <c r="CE75" s="24"/>
      <c r="CR75" s="24"/>
    </row>
    <row r="76" spans="4:96" ht="14.25" customHeight="1" x14ac:dyDescent="0.4">
      <c r="D76" s="49"/>
      <c r="R76" s="24"/>
      <c r="AE76" s="24"/>
      <c r="AR76" s="24"/>
      <c r="BE76" s="24"/>
      <c r="BR76" s="24"/>
      <c r="CE76" s="24"/>
      <c r="CR76" s="24"/>
    </row>
    <row r="77" spans="4:96" ht="14.25" customHeight="1" x14ac:dyDescent="0.4">
      <c r="D77" s="49"/>
      <c r="R77" s="24"/>
      <c r="AE77" s="24"/>
      <c r="AR77" s="24"/>
      <c r="BE77" s="24"/>
      <c r="BR77" s="24"/>
      <c r="CE77" s="24"/>
      <c r="CR77" s="24"/>
    </row>
    <row r="78" spans="4:96" ht="14.25" customHeight="1" x14ac:dyDescent="0.4">
      <c r="D78" s="49"/>
      <c r="R78" s="24"/>
      <c r="AE78" s="24"/>
      <c r="AR78" s="24"/>
      <c r="BE78" s="24"/>
      <c r="BR78" s="24"/>
      <c r="CE78" s="24"/>
      <c r="CR78" s="24"/>
    </row>
    <row r="79" spans="4:96" ht="14.25" customHeight="1" x14ac:dyDescent="0.4">
      <c r="D79" s="49"/>
      <c r="R79" s="24"/>
      <c r="AE79" s="24"/>
      <c r="AR79" s="24"/>
      <c r="BE79" s="24"/>
      <c r="BR79" s="24"/>
      <c r="CE79" s="24"/>
      <c r="CR79" s="24"/>
    </row>
    <row r="80" spans="4:96" ht="14.25" customHeight="1" x14ac:dyDescent="0.4">
      <c r="D80" s="49"/>
      <c r="R80" s="24"/>
      <c r="AE80" s="24"/>
      <c r="AR80" s="24"/>
      <c r="BE80" s="24"/>
      <c r="BR80" s="24"/>
      <c r="CE80" s="24"/>
      <c r="CR80" s="24"/>
    </row>
    <row r="81" spans="4:96" ht="14.25" customHeight="1" x14ac:dyDescent="0.4">
      <c r="D81" s="49"/>
      <c r="R81" s="24"/>
      <c r="AE81" s="24"/>
      <c r="AR81" s="24"/>
      <c r="BE81" s="24"/>
      <c r="BR81" s="24"/>
      <c r="CE81" s="24"/>
      <c r="CR81" s="24"/>
    </row>
    <row r="82" spans="4:96" ht="14.25" customHeight="1" x14ac:dyDescent="0.4">
      <c r="D82" s="49"/>
      <c r="R82" s="24"/>
      <c r="AE82" s="24"/>
      <c r="AR82" s="24"/>
      <c r="BE82" s="24"/>
      <c r="BR82" s="24"/>
      <c r="CE82" s="24"/>
      <c r="CR82" s="24"/>
    </row>
    <row r="83" spans="4:96" ht="14.25" customHeight="1" x14ac:dyDescent="0.4">
      <c r="D83" s="49"/>
      <c r="R83" s="24"/>
      <c r="AE83" s="24"/>
      <c r="AR83" s="24"/>
      <c r="BE83" s="24"/>
      <c r="BR83" s="24"/>
      <c r="CE83" s="24"/>
      <c r="CR83" s="24"/>
    </row>
    <row r="84" spans="4:96" ht="14.25" customHeight="1" x14ac:dyDescent="0.4">
      <c r="D84" s="49"/>
      <c r="R84" s="24"/>
      <c r="AE84" s="24"/>
      <c r="AR84" s="24"/>
      <c r="BE84" s="24"/>
      <c r="BR84" s="24"/>
      <c r="CE84" s="24"/>
      <c r="CR84" s="24"/>
    </row>
    <row r="85" spans="4:96" ht="14.25" customHeight="1" x14ac:dyDescent="0.4">
      <c r="D85" s="49"/>
      <c r="R85" s="24"/>
      <c r="AE85" s="24"/>
      <c r="AR85" s="24"/>
      <c r="BE85" s="24"/>
      <c r="BR85" s="24"/>
      <c r="CE85" s="24"/>
      <c r="CR85" s="24"/>
    </row>
    <row r="86" spans="4:96" ht="14.25" customHeight="1" x14ac:dyDescent="0.4">
      <c r="D86" s="49"/>
      <c r="R86" s="24"/>
      <c r="AE86" s="24"/>
      <c r="AR86" s="24"/>
      <c r="BE86" s="24"/>
      <c r="BR86" s="24"/>
      <c r="CE86" s="24"/>
      <c r="CR86" s="24"/>
    </row>
    <row r="87" spans="4:96" ht="14.25" customHeight="1" x14ac:dyDescent="0.4">
      <c r="D87" s="49"/>
      <c r="R87" s="24"/>
      <c r="AE87" s="24"/>
      <c r="AR87" s="24"/>
      <c r="BE87" s="24"/>
      <c r="BR87" s="24"/>
      <c r="CE87" s="24"/>
      <c r="CR87" s="24"/>
    </row>
    <row r="88" spans="4:96" ht="14.25" customHeight="1" x14ac:dyDescent="0.4">
      <c r="D88" s="49"/>
      <c r="R88" s="24"/>
      <c r="AE88" s="24"/>
      <c r="AR88" s="24"/>
      <c r="BE88" s="24"/>
      <c r="BR88" s="24"/>
      <c r="CE88" s="24"/>
      <c r="CR88" s="24"/>
    </row>
    <row r="89" spans="4:96" ht="14.25" customHeight="1" x14ac:dyDescent="0.4">
      <c r="D89" s="49"/>
      <c r="R89" s="24"/>
      <c r="AE89" s="24"/>
      <c r="AR89" s="24"/>
      <c r="BE89" s="24"/>
      <c r="BR89" s="24"/>
      <c r="CE89" s="24"/>
      <c r="CR89" s="24"/>
    </row>
    <row r="90" spans="4:96" ht="14.25" customHeight="1" x14ac:dyDescent="0.4">
      <c r="D90" s="49"/>
      <c r="R90" s="24"/>
      <c r="AE90" s="24"/>
      <c r="AR90" s="24"/>
      <c r="BE90" s="24"/>
      <c r="BR90" s="24"/>
      <c r="CE90" s="24"/>
      <c r="CR90" s="24"/>
    </row>
    <row r="91" spans="4:96" ht="14.25" customHeight="1" x14ac:dyDescent="0.4">
      <c r="D91" s="49"/>
      <c r="R91" s="24"/>
      <c r="AE91" s="24"/>
      <c r="AR91" s="24"/>
      <c r="BE91" s="24"/>
      <c r="BR91" s="24"/>
      <c r="CE91" s="24"/>
      <c r="CR91" s="24"/>
    </row>
    <row r="92" spans="4:96" ht="14.25" customHeight="1" x14ac:dyDescent="0.4">
      <c r="D92" s="49"/>
      <c r="R92" s="24"/>
      <c r="AE92" s="24"/>
      <c r="AR92" s="24"/>
      <c r="BE92" s="24"/>
      <c r="BR92" s="24"/>
      <c r="CE92" s="24"/>
      <c r="CR92" s="24"/>
    </row>
    <row r="93" spans="4:96" ht="14.25" customHeight="1" x14ac:dyDescent="0.4">
      <c r="D93" s="49"/>
      <c r="R93" s="24"/>
      <c r="AE93" s="24"/>
      <c r="AR93" s="24"/>
      <c r="BE93" s="24"/>
      <c r="BR93" s="24"/>
      <c r="CE93" s="24"/>
      <c r="CR93" s="24"/>
    </row>
    <row r="94" spans="4:96" ht="14.25" customHeight="1" x14ac:dyDescent="0.4">
      <c r="D94" s="49"/>
      <c r="R94" s="24"/>
      <c r="AE94" s="24"/>
      <c r="AR94" s="24"/>
      <c r="BE94" s="24"/>
      <c r="BR94" s="24"/>
      <c r="CE94" s="24"/>
      <c r="CR94" s="24"/>
    </row>
    <row r="95" spans="4:96" ht="14.25" customHeight="1" x14ac:dyDescent="0.4">
      <c r="D95" s="49"/>
      <c r="R95" s="24"/>
      <c r="AE95" s="24"/>
      <c r="AR95" s="24"/>
      <c r="BE95" s="24"/>
      <c r="BR95" s="24"/>
      <c r="CE95" s="24"/>
      <c r="CR95" s="24"/>
    </row>
    <row r="96" spans="4:96" ht="14.25" customHeight="1" x14ac:dyDescent="0.4">
      <c r="D96" s="49"/>
      <c r="R96" s="24"/>
      <c r="AE96" s="24"/>
      <c r="AR96" s="24"/>
      <c r="BE96" s="24"/>
      <c r="BR96" s="24"/>
      <c r="CE96" s="24"/>
      <c r="CR96" s="24"/>
    </row>
    <row r="97" spans="4:96" ht="14.25" customHeight="1" x14ac:dyDescent="0.4">
      <c r="D97" s="49"/>
      <c r="R97" s="24"/>
      <c r="AE97" s="24"/>
      <c r="AR97" s="24"/>
      <c r="BE97" s="24"/>
      <c r="BR97" s="24"/>
      <c r="CE97" s="24"/>
      <c r="CR97" s="24"/>
    </row>
    <row r="98" spans="4:96" ht="14.25" customHeight="1" x14ac:dyDescent="0.4">
      <c r="D98" s="49"/>
      <c r="R98" s="24"/>
      <c r="AE98" s="24"/>
      <c r="AR98" s="24"/>
      <c r="BE98" s="24"/>
      <c r="BR98" s="24"/>
      <c r="CE98" s="24"/>
      <c r="CR98" s="24"/>
    </row>
    <row r="99" spans="4:96" ht="14.25" customHeight="1" x14ac:dyDescent="0.4">
      <c r="D99" s="49"/>
      <c r="R99" s="24"/>
      <c r="AE99" s="24"/>
      <c r="AR99" s="24"/>
      <c r="BE99" s="24"/>
      <c r="BR99" s="24"/>
      <c r="CE99" s="24"/>
      <c r="CR99" s="24"/>
    </row>
    <row r="100" spans="4:96" ht="14.25" customHeight="1" x14ac:dyDescent="0.4">
      <c r="D100" s="49"/>
      <c r="R100" s="24"/>
      <c r="AE100" s="24"/>
      <c r="AR100" s="24"/>
      <c r="BE100" s="24"/>
      <c r="BR100" s="24"/>
      <c r="CE100" s="24"/>
      <c r="CR100" s="24"/>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7B7B7B"/>
  </sheetPr>
  <dimension ref="A1:CR100"/>
  <sheetViews>
    <sheetView workbookViewId="0">
      <selection activeCell="B4" sqref="B4"/>
    </sheetView>
  </sheetViews>
  <sheetFormatPr defaultColWidth="12.61328125" defaultRowHeight="15" customHeight="1" outlineLevelCol="2" x14ac:dyDescent="0.4"/>
  <cols>
    <col min="1" max="1" width="8.07421875" customWidth="1"/>
    <col min="2" max="2" width="52.53515625" customWidth="1"/>
    <col min="3" max="3" width="60.4609375" customWidth="1"/>
    <col min="4" max="4" width="13.4609375" customWidth="1"/>
    <col min="5" max="5" width="2.84375" customWidth="1"/>
    <col min="6" max="17" width="11" customWidth="1" outlineLevel="1"/>
    <col min="18" max="18" width="12.61328125" customWidth="1"/>
    <col min="19" max="30" width="11" customWidth="1" outlineLevel="2"/>
    <col min="31" max="31" width="12.61328125" customWidth="1"/>
    <col min="32" max="43" width="11" customWidth="1" outlineLevel="1"/>
    <col min="44" max="44" width="12.61328125" customWidth="1"/>
    <col min="45" max="56" width="11" customWidth="1" outlineLevel="1"/>
    <col min="57" max="57" width="12.61328125" customWidth="1"/>
    <col min="58" max="69" width="11" customWidth="1" outlineLevel="1"/>
    <col min="70" max="70" width="12.61328125" customWidth="1"/>
    <col min="71" max="81" width="11" customWidth="1" outlineLevel="1"/>
    <col min="82" max="82" width="13.84375" bestFit="1" customWidth="1" outlineLevel="1"/>
    <col min="83" max="83" width="12.61328125" customWidth="1"/>
    <col min="84" max="95" width="11" customWidth="1" outlineLevel="1"/>
    <col min="96" max="96" width="12.61328125" customWidth="1"/>
  </cols>
  <sheetData>
    <row r="1" spans="1:96" ht="6.45" customHeight="1" x14ac:dyDescent="0.4">
      <c r="A1" s="71"/>
      <c r="D1" s="49"/>
      <c r="BE1" s="24"/>
      <c r="BR1" s="24"/>
      <c r="CE1" s="24"/>
      <c r="CR1" s="24"/>
    </row>
    <row r="2" spans="1:96" ht="14.25" customHeight="1" x14ac:dyDescent="0.4">
      <c r="A2" s="71"/>
      <c r="C2" s="404" t="s">
        <v>485</v>
      </c>
      <c r="D2" s="141">
        <v>1.04</v>
      </c>
      <c r="BE2" s="24"/>
      <c r="BR2" s="24"/>
      <c r="CE2" s="24"/>
      <c r="CR2" s="24"/>
    </row>
    <row r="3" spans="1:96" ht="14.25" customHeight="1" thickBot="1" x14ac:dyDescent="0.55000000000000004">
      <c r="A3" s="71"/>
      <c r="B3" s="403" t="s">
        <v>45</v>
      </c>
      <c r="C3" s="403"/>
      <c r="D3" s="85" t="s">
        <v>486</v>
      </c>
      <c r="E3" s="83"/>
      <c r="F3" s="83">
        <v>1</v>
      </c>
      <c r="G3" s="83">
        <v>2</v>
      </c>
      <c r="H3" s="83">
        <v>3</v>
      </c>
      <c r="I3" s="83">
        <v>4</v>
      </c>
      <c r="J3" s="83">
        <v>5</v>
      </c>
      <c r="K3" s="83">
        <v>6</v>
      </c>
      <c r="L3" s="83">
        <v>7</v>
      </c>
      <c r="M3" s="83">
        <v>8</v>
      </c>
      <c r="N3" s="83">
        <v>9</v>
      </c>
      <c r="O3" s="83">
        <v>10</v>
      </c>
      <c r="P3" s="83">
        <v>11</v>
      </c>
      <c r="Q3" s="83">
        <v>12</v>
      </c>
      <c r="R3" s="83" t="s">
        <v>61</v>
      </c>
      <c r="S3" s="83">
        <v>13</v>
      </c>
      <c r="T3" s="83">
        <v>14</v>
      </c>
      <c r="U3" s="83">
        <v>15</v>
      </c>
      <c r="V3" s="83">
        <v>16</v>
      </c>
      <c r="W3" s="84">
        <v>17</v>
      </c>
      <c r="X3" s="83">
        <v>18</v>
      </c>
      <c r="Y3" s="83">
        <v>19</v>
      </c>
      <c r="Z3" s="83">
        <v>20</v>
      </c>
      <c r="AA3" s="83">
        <v>21</v>
      </c>
      <c r="AB3" s="83">
        <v>22</v>
      </c>
      <c r="AC3" s="83">
        <v>23</v>
      </c>
      <c r="AD3" s="83">
        <v>24</v>
      </c>
      <c r="AE3" s="83" t="s">
        <v>62</v>
      </c>
      <c r="AF3" s="83">
        <v>25</v>
      </c>
      <c r="AG3" s="83">
        <v>26</v>
      </c>
      <c r="AH3" s="83">
        <v>27</v>
      </c>
      <c r="AI3" s="83">
        <v>28</v>
      </c>
      <c r="AJ3" s="83">
        <v>29</v>
      </c>
      <c r="AK3" s="83">
        <v>30</v>
      </c>
      <c r="AL3" s="83">
        <v>31</v>
      </c>
      <c r="AM3" s="83">
        <v>32</v>
      </c>
      <c r="AN3" s="83">
        <v>33</v>
      </c>
      <c r="AO3" s="83">
        <v>34</v>
      </c>
      <c r="AP3" s="83">
        <v>35</v>
      </c>
      <c r="AQ3" s="83">
        <v>36</v>
      </c>
      <c r="AR3" s="168" t="s">
        <v>63</v>
      </c>
      <c r="AS3" s="83">
        <v>37</v>
      </c>
      <c r="AT3" s="83">
        <v>38</v>
      </c>
      <c r="AU3" s="83">
        <v>39</v>
      </c>
      <c r="AV3" s="83">
        <v>40</v>
      </c>
      <c r="AW3" s="83">
        <v>41</v>
      </c>
      <c r="AX3" s="83">
        <v>42</v>
      </c>
      <c r="AY3" s="83">
        <v>43</v>
      </c>
      <c r="AZ3" s="83">
        <v>44</v>
      </c>
      <c r="BA3" s="83">
        <v>45</v>
      </c>
      <c r="BB3" s="83">
        <v>46</v>
      </c>
      <c r="BC3" s="83">
        <v>47</v>
      </c>
      <c r="BD3" s="83">
        <v>48</v>
      </c>
      <c r="BE3" s="83" t="s">
        <v>64</v>
      </c>
      <c r="BF3" s="83">
        <v>49</v>
      </c>
      <c r="BG3" s="83">
        <v>50</v>
      </c>
      <c r="BH3" s="83">
        <v>51</v>
      </c>
      <c r="BI3" s="83">
        <v>52</v>
      </c>
      <c r="BJ3" s="83">
        <v>53</v>
      </c>
      <c r="BK3" s="83">
        <v>54</v>
      </c>
      <c r="BL3" s="83">
        <v>55</v>
      </c>
      <c r="BM3" s="83">
        <v>56</v>
      </c>
      <c r="BN3" s="83">
        <v>57</v>
      </c>
      <c r="BO3" s="83">
        <v>58</v>
      </c>
      <c r="BP3" s="83">
        <v>59</v>
      </c>
      <c r="BQ3" s="83">
        <v>60</v>
      </c>
      <c r="BR3" s="83" t="s">
        <v>65</v>
      </c>
      <c r="BS3" s="83">
        <v>61</v>
      </c>
      <c r="BT3" s="83">
        <v>62</v>
      </c>
      <c r="BU3" s="83">
        <v>63</v>
      </c>
      <c r="BV3" s="83">
        <v>64</v>
      </c>
      <c r="BW3" s="83">
        <v>65</v>
      </c>
      <c r="BX3" s="83">
        <v>66</v>
      </c>
      <c r="BY3" s="83">
        <v>67</v>
      </c>
      <c r="BZ3" s="83">
        <v>68</v>
      </c>
      <c r="CA3" s="83">
        <v>69</v>
      </c>
      <c r="CB3" s="83">
        <v>70</v>
      </c>
      <c r="CC3" s="83">
        <v>71</v>
      </c>
      <c r="CD3" s="83">
        <v>72</v>
      </c>
      <c r="CE3" s="83" t="s">
        <v>66</v>
      </c>
      <c r="CF3" s="83">
        <v>73</v>
      </c>
      <c r="CG3" s="83">
        <v>74</v>
      </c>
      <c r="CH3" s="83">
        <v>75</v>
      </c>
      <c r="CI3" s="83">
        <v>76</v>
      </c>
      <c r="CJ3" s="83">
        <v>77</v>
      </c>
      <c r="CK3" s="83">
        <v>78</v>
      </c>
      <c r="CL3" s="83">
        <v>79</v>
      </c>
      <c r="CM3" s="83">
        <v>80</v>
      </c>
      <c r="CN3" s="83">
        <v>81</v>
      </c>
      <c r="CO3" s="83">
        <v>82</v>
      </c>
      <c r="CP3" s="83">
        <v>83</v>
      </c>
      <c r="CQ3" s="83">
        <v>84</v>
      </c>
      <c r="CR3" s="83" t="s">
        <v>67</v>
      </c>
    </row>
    <row r="4" spans="1:96" ht="14.25" customHeight="1" x14ac:dyDescent="0.4">
      <c r="A4" s="77"/>
      <c r="B4" t="s">
        <v>508</v>
      </c>
      <c r="C4" t="s">
        <v>509</v>
      </c>
      <c r="D4" s="89">
        <f t="shared" ref="D4:D16" si="0">SUM(F4:CR4)-R4-AE4-AR4-BE4-BR4-CE4-CR4</f>
        <v>-1326913.4727905276</v>
      </c>
      <c r="E4" s="38"/>
      <c r="F4" s="87">
        <v>-14000</v>
      </c>
      <c r="G4" s="87">
        <f t="shared" ref="G4:Q4" si="1">F4</f>
        <v>-14000</v>
      </c>
      <c r="H4" s="87">
        <f t="shared" si="1"/>
        <v>-14000</v>
      </c>
      <c r="I4" s="87">
        <f t="shared" si="1"/>
        <v>-14000</v>
      </c>
      <c r="J4" s="87">
        <f t="shared" si="1"/>
        <v>-14000</v>
      </c>
      <c r="K4" s="87">
        <f t="shared" si="1"/>
        <v>-14000</v>
      </c>
      <c r="L4" s="87">
        <f t="shared" si="1"/>
        <v>-14000</v>
      </c>
      <c r="M4" s="87">
        <f t="shared" si="1"/>
        <v>-14000</v>
      </c>
      <c r="N4" s="87">
        <f t="shared" si="1"/>
        <v>-14000</v>
      </c>
      <c r="O4" s="87">
        <f t="shared" si="1"/>
        <v>-14000</v>
      </c>
      <c r="P4" s="87">
        <f t="shared" si="1"/>
        <v>-14000</v>
      </c>
      <c r="Q4" s="87">
        <f t="shared" si="1"/>
        <v>-14000</v>
      </c>
      <c r="R4" s="89">
        <f t="shared" ref="R4:R17" si="2">SUM(F4:Q4)</f>
        <v>-168000</v>
      </c>
      <c r="S4" s="38">
        <f t="shared" ref="S4:S17" si="3">Q4*$D$2</f>
        <v>-14560</v>
      </c>
      <c r="T4" s="38">
        <f t="shared" ref="T4:AD4" si="4">S4</f>
        <v>-14560</v>
      </c>
      <c r="U4" s="38">
        <f t="shared" si="4"/>
        <v>-14560</v>
      </c>
      <c r="V4" s="38">
        <f t="shared" si="4"/>
        <v>-14560</v>
      </c>
      <c r="W4" s="38">
        <f t="shared" si="4"/>
        <v>-14560</v>
      </c>
      <c r="X4" s="38">
        <f t="shared" si="4"/>
        <v>-14560</v>
      </c>
      <c r="Y4" s="38">
        <f t="shared" si="4"/>
        <v>-14560</v>
      </c>
      <c r="Z4" s="38">
        <f t="shared" si="4"/>
        <v>-14560</v>
      </c>
      <c r="AA4" s="38">
        <f t="shared" si="4"/>
        <v>-14560</v>
      </c>
      <c r="AB4" s="38">
        <f t="shared" si="4"/>
        <v>-14560</v>
      </c>
      <c r="AC4" s="38">
        <f t="shared" si="4"/>
        <v>-14560</v>
      </c>
      <c r="AD4" s="38">
        <f t="shared" si="4"/>
        <v>-14560</v>
      </c>
      <c r="AE4" s="89">
        <f t="shared" ref="AE4:AE17" si="5">SUM(S4:AD4)</f>
        <v>-174720</v>
      </c>
      <c r="AF4" s="38">
        <f t="shared" ref="AF4:AF17" si="6">AD4*$D$2</f>
        <v>-15142.4</v>
      </c>
      <c r="AG4" s="38">
        <f t="shared" ref="AG4:AQ4" si="7">AF4</f>
        <v>-15142.4</v>
      </c>
      <c r="AH4" s="38">
        <f t="shared" si="7"/>
        <v>-15142.4</v>
      </c>
      <c r="AI4" s="38">
        <f t="shared" si="7"/>
        <v>-15142.4</v>
      </c>
      <c r="AJ4" s="38">
        <f t="shared" si="7"/>
        <v>-15142.4</v>
      </c>
      <c r="AK4" s="38">
        <f t="shared" si="7"/>
        <v>-15142.4</v>
      </c>
      <c r="AL4" s="38">
        <f t="shared" si="7"/>
        <v>-15142.4</v>
      </c>
      <c r="AM4" s="38">
        <f t="shared" si="7"/>
        <v>-15142.4</v>
      </c>
      <c r="AN4" s="38">
        <f t="shared" si="7"/>
        <v>-15142.4</v>
      </c>
      <c r="AO4" s="38">
        <f t="shared" si="7"/>
        <v>-15142.4</v>
      </c>
      <c r="AP4" s="38">
        <f t="shared" si="7"/>
        <v>-15142.4</v>
      </c>
      <c r="AQ4" s="38">
        <f t="shared" si="7"/>
        <v>-15142.4</v>
      </c>
      <c r="AR4" s="89">
        <f t="shared" ref="AR4:AR17" si="8">SUM(AF4:AQ4)</f>
        <v>-181708.79999999996</v>
      </c>
      <c r="AS4" s="38">
        <f t="shared" ref="AS4:AS17" si="9">AQ4*$D$2</f>
        <v>-15748.096</v>
      </c>
      <c r="AT4" s="38">
        <f t="shared" ref="AT4:BD4" si="10">AS4</f>
        <v>-15748.096</v>
      </c>
      <c r="AU4" s="38">
        <f t="shared" si="10"/>
        <v>-15748.096</v>
      </c>
      <c r="AV4" s="38">
        <f t="shared" si="10"/>
        <v>-15748.096</v>
      </c>
      <c r="AW4" s="38">
        <f t="shared" si="10"/>
        <v>-15748.096</v>
      </c>
      <c r="AX4" s="38">
        <f t="shared" si="10"/>
        <v>-15748.096</v>
      </c>
      <c r="AY4" s="38">
        <f t="shared" si="10"/>
        <v>-15748.096</v>
      </c>
      <c r="AZ4" s="38">
        <f t="shared" si="10"/>
        <v>-15748.096</v>
      </c>
      <c r="BA4" s="38">
        <f t="shared" si="10"/>
        <v>-15748.096</v>
      </c>
      <c r="BB4" s="38">
        <f t="shared" si="10"/>
        <v>-15748.096</v>
      </c>
      <c r="BC4" s="38">
        <f t="shared" si="10"/>
        <v>-15748.096</v>
      </c>
      <c r="BD4" s="38">
        <f t="shared" si="10"/>
        <v>-15748.096</v>
      </c>
      <c r="BE4" s="89">
        <f t="shared" ref="BE4:BE17" si="11">SUM(AS4:BD4)</f>
        <v>-188977.15199999997</v>
      </c>
      <c r="BF4" s="38">
        <f t="shared" ref="BF4:BF17" si="12">BD4*$D$2</f>
        <v>-16378.019840000001</v>
      </c>
      <c r="BG4" s="38">
        <f t="shared" ref="BG4:BQ4" si="13">BF4</f>
        <v>-16378.019840000001</v>
      </c>
      <c r="BH4" s="38">
        <f t="shared" si="13"/>
        <v>-16378.019840000001</v>
      </c>
      <c r="BI4" s="38">
        <f t="shared" si="13"/>
        <v>-16378.019840000001</v>
      </c>
      <c r="BJ4" s="38">
        <f t="shared" si="13"/>
        <v>-16378.019840000001</v>
      </c>
      <c r="BK4" s="38">
        <f t="shared" si="13"/>
        <v>-16378.019840000001</v>
      </c>
      <c r="BL4" s="38">
        <f t="shared" si="13"/>
        <v>-16378.019840000001</v>
      </c>
      <c r="BM4" s="38">
        <f t="shared" si="13"/>
        <v>-16378.019840000001</v>
      </c>
      <c r="BN4" s="38">
        <f t="shared" si="13"/>
        <v>-16378.019840000001</v>
      </c>
      <c r="BO4" s="38">
        <f t="shared" si="13"/>
        <v>-16378.019840000001</v>
      </c>
      <c r="BP4" s="38">
        <f t="shared" si="13"/>
        <v>-16378.019840000001</v>
      </c>
      <c r="BQ4" s="38">
        <f t="shared" si="13"/>
        <v>-16378.019840000001</v>
      </c>
      <c r="BR4" s="89">
        <f t="shared" ref="BR4:BR17" si="14">SUM(BF4:BQ4)</f>
        <v>-196536.23807999995</v>
      </c>
      <c r="BS4" s="38">
        <f t="shared" ref="BS4:BS17" si="15">BQ4*$D$2</f>
        <v>-17033.1406336</v>
      </c>
      <c r="BT4" s="38">
        <f t="shared" ref="BT4:CD4" si="16">BS4</f>
        <v>-17033.1406336</v>
      </c>
      <c r="BU4" s="38">
        <f t="shared" si="16"/>
        <v>-17033.1406336</v>
      </c>
      <c r="BV4" s="38">
        <f t="shared" si="16"/>
        <v>-17033.1406336</v>
      </c>
      <c r="BW4" s="38">
        <f t="shared" si="16"/>
        <v>-17033.1406336</v>
      </c>
      <c r="BX4" s="38">
        <f t="shared" si="16"/>
        <v>-17033.1406336</v>
      </c>
      <c r="BY4" s="38">
        <f t="shared" si="16"/>
        <v>-17033.1406336</v>
      </c>
      <c r="BZ4" s="38">
        <f t="shared" si="16"/>
        <v>-17033.1406336</v>
      </c>
      <c r="CA4" s="38">
        <f t="shared" si="16"/>
        <v>-17033.1406336</v>
      </c>
      <c r="CB4" s="38">
        <f t="shared" si="16"/>
        <v>-17033.1406336</v>
      </c>
      <c r="CC4" s="38">
        <f t="shared" si="16"/>
        <v>-17033.1406336</v>
      </c>
      <c r="CD4" s="38">
        <f t="shared" si="16"/>
        <v>-17033.1406336</v>
      </c>
      <c r="CE4" s="89">
        <f t="shared" ref="CE4:CE17" si="17">SUM(BS4:CD4)</f>
        <v>-204397.68760320006</v>
      </c>
      <c r="CF4" s="38">
        <f t="shared" ref="CF4:CF17" si="18">CD4*$D$2</f>
        <v>-17714.466258944001</v>
      </c>
      <c r="CG4" s="38">
        <f t="shared" ref="CG4:CQ4" si="19">CF4</f>
        <v>-17714.466258944001</v>
      </c>
      <c r="CH4" s="38">
        <f t="shared" si="19"/>
        <v>-17714.466258944001</v>
      </c>
      <c r="CI4" s="38">
        <f t="shared" si="19"/>
        <v>-17714.466258944001</v>
      </c>
      <c r="CJ4" s="38">
        <f t="shared" si="19"/>
        <v>-17714.466258944001</v>
      </c>
      <c r="CK4" s="38">
        <f t="shared" si="19"/>
        <v>-17714.466258944001</v>
      </c>
      <c r="CL4" s="38">
        <f t="shared" si="19"/>
        <v>-17714.466258944001</v>
      </c>
      <c r="CM4" s="38">
        <f t="shared" si="19"/>
        <v>-17714.466258944001</v>
      </c>
      <c r="CN4" s="38">
        <f t="shared" si="19"/>
        <v>-17714.466258944001</v>
      </c>
      <c r="CO4" s="38">
        <f t="shared" si="19"/>
        <v>-17714.466258944001</v>
      </c>
      <c r="CP4" s="38">
        <f t="shared" si="19"/>
        <v>-17714.466258944001</v>
      </c>
      <c r="CQ4" s="38">
        <f t="shared" si="19"/>
        <v>-17714.466258944001</v>
      </c>
      <c r="CR4" s="89">
        <f t="shared" ref="CR4:CR17" si="20">SUM(CF4:CQ4)</f>
        <v>-212573.59510732806</v>
      </c>
    </row>
    <row r="5" spans="1:96" ht="14.25" customHeight="1" x14ac:dyDescent="0.4">
      <c r="A5" s="71"/>
      <c r="B5" t="s">
        <v>510</v>
      </c>
      <c r="C5" t="s">
        <v>511</v>
      </c>
      <c r="D5" s="89">
        <f t="shared" si="0"/>
        <v>-1326913.4727905276</v>
      </c>
      <c r="F5" s="87">
        <v>-14000</v>
      </c>
      <c r="G5" s="87">
        <f t="shared" ref="G5:Q5" si="21">F5</f>
        <v>-14000</v>
      </c>
      <c r="H5" s="87">
        <f t="shared" si="21"/>
        <v>-14000</v>
      </c>
      <c r="I5" s="87">
        <f t="shared" si="21"/>
        <v>-14000</v>
      </c>
      <c r="J5" s="87">
        <f t="shared" si="21"/>
        <v>-14000</v>
      </c>
      <c r="K5" s="87">
        <f t="shared" si="21"/>
        <v>-14000</v>
      </c>
      <c r="L5" s="87">
        <f t="shared" si="21"/>
        <v>-14000</v>
      </c>
      <c r="M5" s="87">
        <f t="shared" si="21"/>
        <v>-14000</v>
      </c>
      <c r="N5" s="87">
        <f t="shared" si="21"/>
        <v>-14000</v>
      </c>
      <c r="O5" s="87">
        <f t="shared" si="21"/>
        <v>-14000</v>
      </c>
      <c r="P5" s="87">
        <f t="shared" si="21"/>
        <v>-14000</v>
      </c>
      <c r="Q5" s="87">
        <f t="shared" si="21"/>
        <v>-14000</v>
      </c>
      <c r="R5" s="89">
        <f t="shared" si="2"/>
        <v>-168000</v>
      </c>
      <c r="S5" s="38">
        <f t="shared" si="3"/>
        <v>-14560</v>
      </c>
      <c r="T5" s="38">
        <f t="shared" ref="T5:AD5" si="22">S5</f>
        <v>-14560</v>
      </c>
      <c r="U5" s="38">
        <f t="shared" si="22"/>
        <v>-14560</v>
      </c>
      <c r="V5" s="38">
        <f t="shared" si="22"/>
        <v>-14560</v>
      </c>
      <c r="W5" s="38">
        <f t="shared" si="22"/>
        <v>-14560</v>
      </c>
      <c r="X5" s="38">
        <f t="shared" si="22"/>
        <v>-14560</v>
      </c>
      <c r="Y5" s="38">
        <f t="shared" si="22"/>
        <v>-14560</v>
      </c>
      <c r="Z5" s="38">
        <f t="shared" si="22"/>
        <v>-14560</v>
      </c>
      <c r="AA5" s="38">
        <f t="shared" si="22"/>
        <v>-14560</v>
      </c>
      <c r="AB5" s="38">
        <f t="shared" si="22"/>
        <v>-14560</v>
      </c>
      <c r="AC5" s="38">
        <f t="shared" si="22"/>
        <v>-14560</v>
      </c>
      <c r="AD5" s="38">
        <f t="shared" si="22"/>
        <v>-14560</v>
      </c>
      <c r="AE5" s="89">
        <f t="shared" si="5"/>
        <v>-174720</v>
      </c>
      <c r="AF5" s="38">
        <f t="shared" si="6"/>
        <v>-15142.4</v>
      </c>
      <c r="AG5" s="38">
        <f t="shared" ref="AG5:AQ5" si="23">AF5</f>
        <v>-15142.4</v>
      </c>
      <c r="AH5" s="38">
        <f t="shared" si="23"/>
        <v>-15142.4</v>
      </c>
      <c r="AI5" s="38">
        <f t="shared" si="23"/>
        <v>-15142.4</v>
      </c>
      <c r="AJ5" s="38">
        <f t="shared" si="23"/>
        <v>-15142.4</v>
      </c>
      <c r="AK5" s="38">
        <f t="shared" si="23"/>
        <v>-15142.4</v>
      </c>
      <c r="AL5" s="38">
        <f t="shared" si="23"/>
        <v>-15142.4</v>
      </c>
      <c r="AM5" s="38">
        <f t="shared" si="23"/>
        <v>-15142.4</v>
      </c>
      <c r="AN5" s="38">
        <f t="shared" si="23"/>
        <v>-15142.4</v>
      </c>
      <c r="AO5" s="38">
        <f t="shared" si="23"/>
        <v>-15142.4</v>
      </c>
      <c r="AP5" s="38">
        <f t="shared" si="23"/>
        <v>-15142.4</v>
      </c>
      <c r="AQ5" s="38">
        <f t="shared" si="23"/>
        <v>-15142.4</v>
      </c>
      <c r="AR5" s="89">
        <f t="shared" si="8"/>
        <v>-181708.79999999996</v>
      </c>
      <c r="AS5" s="38">
        <f t="shared" si="9"/>
        <v>-15748.096</v>
      </c>
      <c r="AT5" s="38">
        <f t="shared" ref="AT5:BD5" si="24">AS5</f>
        <v>-15748.096</v>
      </c>
      <c r="AU5" s="38">
        <f t="shared" si="24"/>
        <v>-15748.096</v>
      </c>
      <c r="AV5" s="38">
        <f t="shared" si="24"/>
        <v>-15748.096</v>
      </c>
      <c r="AW5" s="38">
        <f t="shared" si="24"/>
        <v>-15748.096</v>
      </c>
      <c r="AX5" s="38">
        <f t="shared" si="24"/>
        <v>-15748.096</v>
      </c>
      <c r="AY5" s="38">
        <f t="shared" si="24"/>
        <v>-15748.096</v>
      </c>
      <c r="AZ5" s="38">
        <f t="shared" si="24"/>
        <v>-15748.096</v>
      </c>
      <c r="BA5" s="38">
        <f t="shared" si="24"/>
        <v>-15748.096</v>
      </c>
      <c r="BB5" s="38">
        <f t="shared" si="24"/>
        <v>-15748.096</v>
      </c>
      <c r="BC5" s="38">
        <f t="shared" si="24"/>
        <v>-15748.096</v>
      </c>
      <c r="BD5" s="38">
        <f t="shared" si="24"/>
        <v>-15748.096</v>
      </c>
      <c r="BE5" s="89">
        <f t="shared" si="11"/>
        <v>-188977.15199999997</v>
      </c>
      <c r="BF5" s="38">
        <f t="shared" si="12"/>
        <v>-16378.019840000001</v>
      </c>
      <c r="BG5" s="38">
        <f t="shared" ref="BG5:BQ5" si="25">BF5</f>
        <v>-16378.019840000001</v>
      </c>
      <c r="BH5" s="38">
        <f t="shared" si="25"/>
        <v>-16378.019840000001</v>
      </c>
      <c r="BI5" s="38">
        <f t="shared" si="25"/>
        <v>-16378.019840000001</v>
      </c>
      <c r="BJ5" s="38">
        <f t="shared" si="25"/>
        <v>-16378.019840000001</v>
      </c>
      <c r="BK5" s="38">
        <f t="shared" si="25"/>
        <v>-16378.019840000001</v>
      </c>
      <c r="BL5" s="38">
        <f t="shared" si="25"/>
        <v>-16378.019840000001</v>
      </c>
      <c r="BM5" s="38">
        <f t="shared" si="25"/>
        <v>-16378.019840000001</v>
      </c>
      <c r="BN5" s="38">
        <f t="shared" si="25"/>
        <v>-16378.019840000001</v>
      </c>
      <c r="BO5" s="38">
        <f t="shared" si="25"/>
        <v>-16378.019840000001</v>
      </c>
      <c r="BP5" s="38">
        <f t="shared" si="25"/>
        <v>-16378.019840000001</v>
      </c>
      <c r="BQ5" s="38">
        <f t="shared" si="25"/>
        <v>-16378.019840000001</v>
      </c>
      <c r="BR5" s="89">
        <f t="shared" si="14"/>
        <v>-196536.23807999995</v>
      </c>
      <c r="BS5" s="38">
        <f t="shared" si="15"/>
        <v>-17033.1406336</v>
      </c>
      <c r="BT5" s="38">
        <f t="shared" ref="BT5:CD5" si="26">BS5</f>
        <v>-17033.1406336</v>
      </c>
      <c r="BU5" s="38">
        <f t="shared" si="26"/>
        <v>-17033.1406336</v>
      </c>
      <c r="BV5" s="38">
        <f t="shared" si="26"/>
        <v>-17033.1406336</v>
      </c>
      <c r="BW5" s="38">
        <f t="shared" si="26"/>
        <v>-17033.1406336</v>
      </c>
      <c r="BX5" s="38">
        <f t="shared" si="26"/>
        <v>-17033.1406336</v>
      </c>
      <c r="BY5" s="38">
        <f t="shared" si="26"/>
        <v>-17033.1406336</v>
      </c>
      <c r="BZ5" s="38">
        <f t="shared" si="26"/>
        <v>-17033.1406336</v>
      </c>
      <c r="CA5" s="38">
        <f t="shared" si="26"/>
        <v>-17033.1406336</v>
      </c>
      <c r="CB5" s="38">
        <f t="shared" si="26"/>
        <v>-17033.1406336</v>
      </c>
      <c r="CC5" s="38">
        <f t="shared" si="26"/>
        <v>-17033.1406336</v>
      </c>
      <c r="CD5" s="38">
        <f t="shared" si="26"/>
        <v>-17033.1406336</v>
      </c>
      <c r="CE5" s="89">
        <f t="shared" si="17"/>
        <v>-204397.68760320006</v>
      </c>
      <c r="CF5" s="38">
        <f t="shared" si="18"/>
        <v>-17714.466258944001</v>
      </c>
      <c r="CG5" s="38">
        <f t="shared" ref="CG5:CQ5" si="27">CF5</f>
        <v>-17714.466258944001</v>
      </c>
      <c r="CH5" s="38">
        <f t="shared" si="27"/>
        <v>-17714.466258944001</v>
      </c>
      <c r="CI5" s="38">
        <f t="shared" si="27"/>
        <v>-17714.466258944001</v>
      </c>
      <c r="CJ5" s="38">
        <f t="shared" si="27"/>
        <v>-17714.466258944001</v>
      </c>
      <c r="CK5" s="38">
        <f t="shared" si="27"/>
        <v>-17714.466258944001</v>
      </c>
      <c r="CL5" s="38">
        <f t="shared" si="27"/>
        <v>-17714.466258944001</v>
      </c>
      <c r="CM5" s="38">
        <f t="shared" si="27"/>
        <v>-17714.466258944001</v>
      </c>
      <c r="CN5" s="38">
        <f t="shared" si="27"/>
        <v>-17714.466258944001</v>
      </c>
      <c r="CO5" s="38">
        <f t="shared" si="27"/>
        <v>-17714.466258944001</v>
      </c>
      <c r="CP5" s="38">
        <f t="shared" si="27"/>
        <v>-17714.466258944001</v>
      </c>
      <c r="CQ5" s="38">
        <f t="shared" si="27"/>
        <v>-17714.466258944001</v>
      </c>
      <c r="CR5" s="89">
        <f t="shared" si="20"/>
        <v>-212573.59510732806</v>
      </c>
    </row>
    <row r="6" spans="1:96" ht="14.25" customHeight="1" x14ac:dyDescent="0.4">
      <c r="A6" s="71"/>
      <c r="B6" t="s">
        <v>512</v>
      </c>
      <c r="C6" t="s">
        <v>513</v>
      </c>
      <c r="D6" s="89">
        <f t="shared" si="0"/>
        <v>-1263695.5237654361</v>
      </c>
      <c r="F6" s="87">
        <v>-13333</v>
      </c>
      <c r="G6" s="87">
        <f t="shared" ref="G6:Q6" si="28">F6</f>
        <v>-13333</v>
      </c>
      <c r="H6" s="87">
        <f t="shared" si="28"/>
        <v>-13333</v>
      </c>
      <c r="I6" s="87">
        <f t="shared" si="28"/>
        <v>-13333</v>
      </c>
      <c r="J6" s="87">
        <f t="shared" si="28"/>
        <v>-13333</v>
      </c>
      <c r="K6" s="87">
        <f t="shared" si="28"/>
        <v>-13333</v>
      </c>
      <c r="L6" s="87">
        <f t="shared" si="28"/>
        <v>-13333</v>
      </c>
      <c r="M6" s="87">
        <f t="shared" si="28"/>
        <v>-13333</v>
      </c>
      <c r="N6" s="87">
        <f t="shared" si="28"/>
        <v>-13333</v>
      </c>
      <c r="O6" s="87">
        <f t="shared" si="28"/>
        <v>-13333</v>
      </c>
      <c r="P6" s="87">
        <f t="shared" si="28"/>
        <v>-13333</v>
      </c>
      <c r="Q6" s="87">
        <f t="shared" si="28"/>
        <v>-13333</v>
      </c>
      <c r="R6" s="89">
        <f t="shared" si="2"/>
        <v>-159996</v>
      </c>
      <c r="S6" s="38">
        <f t="shared" si="3"/>
        <v>-13866.32</v>
      </c>
      <c r="T6" s="38">
        <f t="shared" ref="T6:AD6" si="29">S6</f>
        <v>-13866.32</v>
      </c>
      <c r="U6" s="38">
        <f t="shared" si="29"/>
        <v>-13866.32</v>
      </c>
      <c r="V6" s="38">
        <f t="shared" si="29"/>
        <v>-13866.32</v>
      </c>
      <c r="W6" s="38">
        <f t="shared" si="29"/>
        <v>-13866.32</v>
      </c>
      <c r="X6" s="38">
        <f t="shared" si="29"/>
        <v>-13866.32</v>
      </c>
      <c r="Y6" s="38">
        <f t="shared" si="29"/>
        <v>-13866.32</v>
      </c>
      <c r="Z6" s="38">
        <f t="shared" si="29"/>
        <v>-13866.32</v>
      </c>
      <c r="AA6" s="38">
        <f t="shared" si="29"/>
        <v>-13866.32</v>
      </c>
      <c r="AB6" s="38">
        <f t="shared" si="29"/>
        <v>-13866.32</v>
      </c>
      <c r="AC6" s="38">
        <f t="shared" si="29"/>
        <v>-13866.32</v>
      </c>
      <c r="AD6" s="38">
        <f t="shared" si="29"/>
        <v>-13866.32</v>
      </c>
      <c r="AE6" s="89">
        <f t="shared" si="5"/>
        <v>-166395.84000000005</v>
      </c>
      <c r="AF6" s="38">
        <f t="shared" si="6"/>
        <v>-14420.9728</v>
      </c>
      <c r="AG6" s="38">
        <f t="shared" ref="AG6:AQ6" si="30">AF6</f>
        <v>-14420.9728</v>
      </c>
      <c r="AH6" s="38">
        <f t="shared" si="30"/>
        <v>-14420.9728</v>
      </c>
      <c r="AI6" s="38">
        <f t="shared" si="30"/>
        <v>-14420.9728</v>
      </c>
      <c r="AJ6" s="38">
        <f t="shared" si="30"/>
        <v>-14420.9728</v>
      </c>
      <c r="AK6" s="38">
        <f t="shared" si="30"/>
        <v>-14420.9728</v>
      </c>
      <c r="AL6" s="38">
        <f t="shared" si="30"/>
        <v>-14420.9728</v>
      </c>
      <c r="AM6" s="38">
        <f t="shared" si="30"/>
        <v>-14420.9728</v>
      </c>
      <c r="AN6" s="38">
        <f t="shared" si="30"/>
        <v>-14420.9728</v>
      </c>
      <c r="AO6" s="38">
        <f t="shared" si="30"/>
        <v>-14420.9728</v>
      </c>
      <c r="AP6" s="38">
        <f t="shared" si="30"/>
        <v>-14420.9728</v>
      </c>
      <c r="AQ6" s="38">
        <f t="shared" si="30"/>
        <v>-14420.9728</v>
      </c>
      <c r="AR6" s="89">
        <f t="shared" si="8"/>
        <v>-173051.67359999998</v>
      </c>
      <c r="AS6" s="38">
        <f t="shared" si="9"/>
        <v>-14997.811712000001</v>
      </c>
      <c r="AT6" s="38">
        <f t="shared" ref="AT6:BD6" si="31">AS6</f>
        <v>-14997.811712000001</v>
      </c>
      <c r="AU6" s="38">
        <f t="shared" si="31"/>
        <v>-14997.811712000001</v>
      </c>
      <c r="AV6" s="38">
        <f t="shared" si="31"/>
        <v>-14997.811712000001</v>
      </c>
      <c r="AW6" s="38">
        <f t="shared" si="31"/>
        <v>-14997.811712000001</v>
      </c>
      <c r="AX6" s="38">
        <f t="shared" si="31"/>
        <v>-14997.811712000001</v>
      </c>
      <c r="AY6" s="38">
        <f t="shared" si="31"/>
        <v>-14997.811712000001</v>
      </c>
      <c r="AZ6" s="38">
        <f t="shared" si="31"/>
        <v>-14997.811712000001</v>
      </c>
      <c r="BA6" s="38">
        <f t="shared" si="31"/>
        <v>-14997.811712000001</v>
      </c>
      <c r="BB6" s="38">
        <f t="shared" si="31"/>
        <v>-14997.811712000001</v>
      </c>
      <c r="BC6" s="38">
        <f t="shared" si="31"/>
        <v>-14997.811712000001</v>
      </c>
      <c r="BD6" s="38">
        <f t="shared" si="31"/>
        <v>-14997.811712000001</v>
      </c>
      <c r="BE6" s="89">
        <f t="shared" si="11"/>
        <v>-179973.74054399997</v>
      </c>
      <c r="BF6" s="38">
        <f t="shared" si="12"/>
        <v>-15597.724180480001</v>
      </c>
      <c r="BG6" s="38">
        <f t="shared" ref="BG6:BQ6" si="32">BF6</f>
        <v>-15597.724180480001</v>
      </c>
      <c r="BH6" s="38">
        <f t="shared" si="32"/>
        <v>-15597.724180480001</v>
      </c>
      <c r="BI6" s="38">
        <f t="shared" si="32"/>
        <v>-15597.724180480001</v>
      </c>
      <c r="BJ6" s="38">
        <f t="shared" si="32"/>
        <v>-15597.724180480001</v>
      </c>
      <c r="BK6" s="38">
        <f t="shared" si="32"/>
        <v>-15597.724180480001</v>
      </c>
      <c r="BL6" s="38">
        <f t="shared" si="32"/>
        <v>-15597.724180480001</v>
      </c>
      <c r="BM6" s="38">
        <f t="shared" si="32"/>
        <v>-15597.724180480001</v>
      </c>
      <c r="BN6" s="38">
        <f t="shared" si="32"/>
        <v>-15597.724180480001</v>
      </c>
      <c r="BO6" s="38">
        <f t="shared" si="32"/>
        <v>-15597.724180480001</v>
      </c>
      <c r="BP6" s="38">
        <f t="shared" si="32"/>
        <v>-15597.724180480001</v>
      </c>
      <c r="BQ6" s="38">
        <f t="shared" si="32"/>
        <v>-15597.724180480001</v>
      </c>
      <c r="BR6" s="89">
        <f t="shared" si="14"/>
        <v>-187172.69016576002</v>
      </c>
      <c r="BS6" s="38">
        <f t="shared" si="15"/>
        <v>-16221.633147699202</v>
      </c>
      <c r="BT6" s="38">
        <f t="shared" ref="BT6:CD6" si="33">BS6</f>
        <v>-16221.633147699202</v>
      </c>
      <c r="BU6" s="38">
        <f t="shared" si="33"/>
        <v>-16221.633147699202</v>
      </c>
      <c r="BV6" s="38">
        <f t="shared" si="33"/>
        <v>-16221.633147699202</v>
      </c>
      <c r="BW6" s="38">
        <f t="shared" si="33"/>
        <v>-16221.633147699202</v>
      </c>
      <c r="BX6" s="38">
        <f t="shared" si="33"/>
        <v>-16221.633147699202</v>
      </c>
      <c r="BY6" s="38">
        <f t="shared" si="33"/>
        <v>-16221.633147699202</v>
      </c>
      <c r="BZ6" s="38">
        <f t="shared" si="33"/>
        <v>-16221.633147699202</v>
      </c>
      <c r="CA6" s="38">
        <f t="shared" si="33"/>
        <v>-16221.633147699202</v>
      </c>
      <c r="CB6" s="38">
        <f t="shared" si="33"/>
        <v>-16221.633147699202</v>
      </c>
      <c r="CC6" s="38">
        <f t="shared" si="33"/>
        <v>-16221.633147699202</v>
      </c>
      <c r="CD6" s="38">
        <f t="shared" si="33"/>
        <v>-16221.633147699202</v>
      </c>
      <c r="CE6" s="89">
        <f t="shared" si="17"/>
        <v>-194659.59777239044</v>
      </c>
      <c r="CF6" s="38">
        <f t="shared" si="18"/>
        <v>-16870.498473607171</v>
      </c>
      <c r="CG6" s="38">
        <f t="shared" ref="CG6:CQ6" si="34">CF6</f>
        <v>-16870.498473607171</v>
      </c>
      <c r="CH6" s="38">
        <f t="shared" si="34"/>
        <v>-16870.498473607171</v>
      </c>
      <c r="CI6" s="38">
        <f t="shared" si="34"/>
        <v>-16870.498473607171</v>
      </c>
      <c r="CJ6" s="38">
        <f t="shared" si="34"/>
        <v>-16870.498473607171</v>
      </c>
      <c r="CK6" s="38">
        <f t="shared" si="34"/>
        <v>-16870.498473607171</v>
      </c>
      <c r="CL6" s="38">
        <f t="shared" si="34"/>
        <v>-16870.498473607171</v>
      </c>
      <c r="CM6" s="38">
        <f t="shared" si="34"/>
        <v>-16870.498473607171</v>
      </c>
      <c r="CN6" s="38">
        <f t="shared" si="34"/>
        <v>-16870.498473607171</v>
      </c>
      <c r="CO6" s="38">
        <f t="shared" si="34"/>
        <v>-16870.498473607171</v>
      </c>
      <c r="CP6" s="38">
        <f t="shared" si="34"/>
        <v>-16870.498473607171</v>
      </c>
      <c r="CQ6" s="38">
        <f t="shared" si="34"/>
        <v>-16870.498473607171</v>
      </c>
      <c r="CR6" s="89">
        <f t="shared" si="20"/>
        <v>-202445.98168328611</v>
      </c>
    </row>
    <row r="7" spans="1:96" ht="14.25" customHeight="1" x14ac:dyDescent="0.4">
      <c r="A7" s="71"/>
      <c r="B7" t="s">
        <v>514</v>
      </c>
      <c r="C7" t="s">
        <v>515</v>
      </c>
      <c r="D7" s="89">
        <f t="shared" si="0"/>
        <v>-1326913.4727905276</v>
      </c>
      <c r="F7" s="87">
        <v>-14000</v>
      </c>
      <c r="G7" s="87">
        <f t="shared" ref="G7:Q7" si="35">F7</f>
        <v>-14000</v>
      </c>
      <c r="H7" s="87">
        <f t="shared" si="35"/>
        <v>-14000</v>
      </c>
      <c r="I7" s="87">
        <f t="shared" si="35"/>
        <v>-14000</v>
      </c>
      <c r="J7" s="87">
        <f t="shared" si="35"/>
        <v>-14000</v>
      </c>
      <c r="K7" s="87">
        <f t="shared" si="35"/>
        <v>-14000</v>
      </c>
      <c r="L7" s="87">
        <f t="shared" si="35"/>
        <v>-14000</v>
      </c>
      <c r="M7" s="87">
        <f t="shared" si="35"/>
        <v>-14000</v>
      </c>
      <c r="N7" s="87">
        <f t="shared" si="35"/>
        <v>-14000</v>
      </c>
      <c r="O7" s="87">
        <f t="shared" si="35"/>
        <v>-14000</v>
      </c>
      <c r="P7" s="87">
        <f t="shared" si="35"/>
        <v>-14000</v>
      </c>
      <c r="Q7" s="87">
        <f t="shared" si="35"/>
        <v>-14000</v>
      </c>
      <c r="R7" s="89">
        <f t="shared" si="2"/>
        <v>-168000</v>
      </c>
      <c r="S7" s="38">
        <f t="shared" si="3"/>
        <v>-14560</v>
      </c>
      <c r="T7" s="38">
        <f t="shared" ref="T7:AD7" si="36">S7</f>
        <v>-14560</v>
      </c>
      <c r="U7" s="38">
        <f t="shared" si="36"/>
        <v>-14560</v>
      </c>
      <c r="V7" s="38">
        <f t="shared" si="36"/>
        <v>-14560</v>
      </c>
      <c r="W7" s="38">
        <f t="shared" si="36"/>
        <v>-14560</v>
      </c>
      <c r="X7" s="38">
        <f t="shared" si="36"/>
        <v>-14560</v>
      </c>
      <c r="Y7" s="38">
        <f t="shared" si="36"/>
        <v>-14560</v>
      </c>
      <c r="Z7" s="38">
        <f t="shared" si="36"/>
        <v>-14560</v>
      </c>
      <c r="AA7" s="38">
        <f t="shared" si="36"/>
        <v>-14560</v>
      </c>
      <c r="AB7" s="38">
        <f t="shared" si="36"/>
        <v>-14560</v>
      </c>
      <c r="AC7" s="38">
        <f t="shared" si="36"/>
        <v>-14560</v>
      </c>
      <c r="AD7" s="38">
        <f t="shared" si="36"/>
        <v>-14560</v>
      </c>
      <c r="AE7" s="89">
        <f t="shared" si="5"/>
        <v>-174720</v>
      </c>
      <c r="AF7" s="38">
        <f t="shared" si="6"/>
        <v>-15142.4</v>
      </c>
      <c r="AG7" s="38">
        <f t="shared" ref="AG7:AQ7" si="37">AF7</f>
        <v>-15142.4</v>
      </c>
      <c r="AH7" s="38">
        <f t="shared" si="37"/>
        <v>-15142.4</v>
      </c>
      <c r="AI7" s="38">
        <f t="shared" si="37"/>
        <v>-15142.4</v>
      </c>
      <c r="AJ7" s="38">
        <f t="shared" si="37"/>
        <v>-15142.4</v>
      </c>
      <c r="AK7" s="38">
        <f t="shared" si="37"/>
        <v>-15142.4</v>
      </c>
      <c r="AL7" s="38">
        <f t="shared" si="37"/>
        <v>-15142.4</v>
      </c>
      <c r="AM7" s="38">
        <f t="shared" si="37"/>
        <v>-15142.4</v>
      </c>
      <c r="AN7" s="38">
        <f t="shared" si="37"/>
        <v>-15142.4</v>
      </c>
      <c r="AO7" s="38">
        <f t="shared" si="37"/>
        <v>-15142.4</v>
      </c>
      <c r="AP7" s="38">
        <f t="shared" si="37"/>
        <v>-15142.4</v>
      </c>
      <c r="AQ7" s="38">
        <f t="shared" si="37"/>
        <v>-15142.4</v>
      </c>
      <c r="AR7" s="89">
        <f t="shared" si="8"/>
        <v>-181708.79999999996</v>
      </c>
      <c r="AS7" s="38">
        <f t="shared" si="9"/>
        <v>-15748.096</v>
      </c>
      <c r="AT7" s="38">
        <f t="shared" ref="AT7:BD7" si="38">AS7</f>
        <v>-15748.096</v>
      </c>
      <c r="AU7" s="38">
        <f t="shared" si="38"/>
        <v>-15748.096</v>
      </c>
      <c r="AV7" s="38">
        <f t="shared" si="38"/>
        <v>-15748.096</v>
      </c>
      <c r="AW7" s="38">
        <f t="shared" si="38"/>
        <v>-15748.096</v>
      </c>
      <c r="AX7" s="38">
        <f t="shared" si="38"/>
        <v>-15748.096</v>
      </c>
      <c r="AY7" s="38">
        <f t="shared" si="38"/>
        <v>-15748.096</v>
      </c>
      <c r="AZ7" s="38">
        <f t="shared" si="38"/>
        <v>-15748.096</v>
      </c>
      <c r="BA7" s="38">
        <f t="shared" si="38"/>
        <v>-15748.096</v>
      </c>
      <c r="BB7" s="38">
        <f t="shared" si="38"/>
        <v>-15748.096</v>
      </c>
      <c r="BC7" s="38">
        <f t="shared" si="38"/>
        <v>-15748.096</v>
      </c>
      <c r="BD7" s="38">
        <f t="shared" si="38"/>
        <v>-15748.096</v>
      </c>
      <c r="BE7" s="89">
        <f t="shared" si="11"/>
        <v>-188977.15199999997</v>
      </c>
      <c r="BF7" s="38">
        <f t="shared" si="12"/>
        <v>-16378.019840000001</v>
      </c>
      <c r="BG7" s="38">
        <f t="shared" ref="BG7:BQ7" si="39">BF7</f>
        <v>-16378.019840000001</v>
      </c>
      <c r="BH7" s="38">
        <f t="shared" si="39"/>
        <v>-16378.019840000001</v>
      </c>
      <c r="BI7" s="38">
        <f t="shared" si="39"/>
        <v>-16378.019840000001</v>
      </c>
      <c r="BJ7" s="38">
        <f t="shared" si="39"/>
        <v>-16378.019840000001</v>
      </c>
      <c r="BK7" s="38">
        <f t="shared" si="39"/>
        <v>-16378.019840000001</v>
      </c>
      <c r="BL7" s="38">
        <f t="shared" si="39"/>
        <v>-16378.019840000001</v>
      </c>
      <c r="BM7" s="38">
        <f t="shared" si="39"/>
        <v>-16378.019840000001</v>
      </c>
      <c r="BN7" s="38">
        <f t="shared" si="39"/>
        <v>-16378.019840000001</v>
      </c>
      <c r="BO7" s="38">
        <f t="shared" si="39"/>
        <v>-16378.019840000001</v>
      </c>
      <c r="BP7" s="38">
        <f t="shared" si="39"/>
        <v>-16378.019840000001</v>
      </c>
      <c r="BQ7" s="38">
        <f t="shared" si="39"/>
        <v>-16378.019840000001</v>
      </c>
      <c r="BR7" s="89">
        <f t="shared" si="14"/>
        <v>-196536.23807999995</v>
      </c>
      <c r="BS7" s="38">
        <f t="shared" si="15"/>
        <v>-17033.1406336</v>
      </c>
      <c r="BT7" s="38">
        <f t="shared" ref="BT7:CD7" si="40">BS7</f>
        <v>-17033.1406336</v>
      </c>
      <c r="BU7" s="38">
        <f t="shared" si="40"/>
        <v>-17033.1406336</v>
      </c>
      <c r="BV7" s="38">
        <f t="shared" si="40"/>
        <v>-17033.1406336</v>
      </c>
      <c r="BW7" s="38">
        <f t="shared" si="40"/>
        <v>-17033.1406336</v>
      </c>
      <c r="BX7" s="38">
        <f t="shared" si="40"/>
        <v>-17033.1406336</v>
      </c>
      <c r="BY7" s="38">
        <f t="shared" si="40"/>
        <v>-17033.1406336</v>
      </c>
      <c r="BZ7" s="38">
        <f t="shared" si="40"/>
        <v>-17033.1406336</v>
      </c>
      <c r="CA7" s="38">
        <f t="shared" si="40"/>
        <v>-17033.1406336</v>
      </c>
      <c r="CB7" s="38">
        <f t="shared" si="40"/>
        <v>-17033.1406336</v>
      </c>
      <c r="CC7" s="38">
        <f t="shared" si="40"/>
        <v>-17033.1406336</v>
      </c>
      <c r="CD7" s="38">
        <f t="shared" si="40"/>
        <v>-17033.1406336</v>
      </c>
      <c r="CE7" s="89">
        <f t="shared" si="17"/>
        <v>-204397.68760320006</v>
      </c>
      <c r="CF7" s="38">
        <f t="shared" si="18"/>
        <v>-17714.466258944001</v>
      </c>
      <c r="CG7" s="38">
        <f t="shared" ref="CG7:CQ7" si="41">CF7</f>
        <v>-17714.466258944001</v>
      </c>
      <c r="CH7" s="38">
        <f t="shared" si="41"/>
        <v>-17714.466258944001</v>
      </c>
      <c r="CI7" s="38">
        <f t="shared" si="41"/>
        <v>-17714.466258944001</v>
      </c>
      <c r="CJ7" s="38">
        <f t="shared" si="41"/>
        <v>-17714.466258944001</v>
      </c>
      <c r="CK7" s="38">
        <f t="shared" si="41"/>
        <v>-17714.466258944001</v>
      </c>
      <c r="CL7" s="38">
        <f t="shared" si="41"/>
        <v>-17714.466258944001</v>
      </c>
      <c r="CM7" s="38">
        <f t="shared" si="41"/>
        <v>-17714.466258944001</v>
      </c>
      <c r="CN7" s="38">
        <f t="shared" si="41"/>
        <v>-17714.466258944001</v>
      </c>
      <c r="CO7" s="38">
        <f t="shared" si="41"/>
        <v>-17714.466258944001</v>
      </c>
      <c r="CP7" s="38">
        <f t="shared" si="41"/>
        <v>-17714.466258944001</v>
      </c>
      <c r="CQ7" s="38">
        <f t="shared" si="41"/>
        <v>-17714.466258944001</v>
      </c>
      <c r="CR7" s="89">
        <f t="shared" si="20"/>
        <v>-212573.59510732806</v>
      </c>
    </row>
    <row r="8" spans="1:96" ht="14.25" customHeight="1" x14ac:dyDescent="0.4">
      <c r="A8" s="71"/>
      <c r="B8" t="s">
        <v>516</v>
      </c>
      <c r="C8" t="s">
        <v>517</v>
      </c>
      <c r="D8" s="89">
        <f t="shared" si="0"/>
        <v>-1184744.1721344034</v>
      </c>
      <c r="F8" s="87">
        <v>-12500</v>
      </c>
      <c r="G8" s="87">
        <f t="shared" ref="G8:Q8" si="42">F8</f>
        <v>-12500</v>
      </c>
      <c r="H8" s="87">
        <f t="shared" si="42"/>
        <v>-12500</v>
      </c>
      <c r="I8" s="87">
        <f t="shared" si="42"/>
        <v>-12500</v>
      </c>
      <c r="J8" s="87">
        <f t="shared" si="42"/>
        <v>-12500</v>
      </c>
      <c r="K8" s="87">
        <f t="shared" si="42"/>
        <v>-12500</v>
      </c>
      <c r="L8" s="87">
        <f t="shared" si="42"/>
        <v>-12500</v>
      </c>
      <c r="M8" s="87">
        <f t="shared" si="42"/>
        <v>-12500</v>
      </c>
      <c r="N8" s="87">
        <f t="shared" si="42"/>
        <v>-12500</v>
      </c>
      <c r="O8" s="87">
        <f t="shared" si="42"/>
        <v>-12500</v>
      </c>
      <c r="P8" s="87">
        <f t="shared" si="42"/>
        <v>-12500</v>
      </c>
      <c r="Q8" s="87">
        <f t="shared" si="42"/>
        <v>-12500</v>
      </c>
      <c r="R8" s="89">
        <f t="shared" si="2"/>
        <v>-150000</v>
      </c>
      <c r="S8" s="38">
        <f t="shared" si="3"/>
        <v>-13000</v>
      </c>
      <c r="T8" s="38">
        <f t="shared" ref="T8:AD8" si="43">S8</f>
        <v>-13000</v>
      </c>
      <c r="U8" s="38">
        <f t="shared" si="43"/>
        <v>-13000</v>
      </c>
      <c r="V8" s="38">
        <f t="shared" si="43"/>
        <v>-13000</v>
      </c>
      <c r="W8" s="38">
        <f t="shared" si="43"/>
        <v>-13000</v>
      </c>
      <c r="X8" s="38">
        <f t="shared" si="43"/>
        <v>-13000</v>
      </c>
      <c r="Y8" s="38">
        <f t="shared" si="43"/>
        <v>-13000</v>
      </c>
      <c r="Z8" s="38">
        <f t="shared" si="43"/>
        <v>-13000</v>
      </c>
      <c r="AA8" s="38">
        <f t="shared" si="43"/>
        <v>-13000</v>
      </c>
      <c r="AB8" s="38">
        <f t="shared" si="43"/>
        <v>-13000</v>
      </c>
      <c r="AC8" s="38">
        <f t="shared" si="43"/>
        <v>-13000</v>
      </c>
      <c r="AD8" s="38">
        <f t="shared" si="43"/>
        <v>-13000</v>
      </c>
      <c r="AE8" s="89">
        <f t="shared" si="5"/>
        <v>-156000</v>
      </c>
      <c r="AF8" s="38">
        <f t="shared" si="6"/>
        <v>-13520</v>
      </c>
      <c r="AG8" s="38">
        <f t="shared" ref="AG8:AQ8" si="44">AF8</f>
        <v>-13520</v>
      </c>
      <c r="AH8" s="38">
        <f t="shared" si="44"/>
        <v>-13520</v>
      </c>
      <c r="AI8" s="38">
        <f t="shared" si="44"/>
        <v>-13520</v>
      </c>
      <c r="AJ8" s="38">
        <f t="shared" si="44"/>
        <v>-13520</v>
      </c>
      <c r="AK8" s="38">
        <f t="shared" si="44"/>
        <v>-13520</v>
      </c>
      <c r="AL8" s="38">
        <f t="shared" si="44"/>
        <v>-13520</v>
      </c>
      <c r="AM8" s="38">
        <f t="shared" si="44"/>
        <v>-13520</v>
      </c>
      <c r="AN8" s="38">
        <f t="shared" si="44"/>
        <v>-13520</v>
      </c>
      <c r="AO8" s="38">
        <f t="shared" si="44"/>
        <v>-13520</v>
      </c>
      <c r="AP8" s="38">
        <f t="shared" si="44"/>
        <v>-13520</v>
      </c>
      <c r="AQ8" s="38">
        <f t="shared" si="44"/>
        <v>-13520</v>
      </c>
      <c r="AR8" s="89">
        <f t="shared" si="8"/>
        <v>-162240</v>
      </c>
      <c r="AS8" s="38">
        <f t="shared" si="9"/>
        <v>-14060.800000000001</v>
      </c>
      <c r="AT8" s="38">
        <f t="shared" ref="AT8:BD8" si="45">AS8</f>
        <v>-14060.800000000001</v>
      </c>
      <c r="AU8" s="38">
        <f t="shared" si="45"/>
        <v>-14060.800000000001</v>
      </c>
      <c r="AV8" s="38">
        <f t="shared" si="45"/>
        <v>-14060.800000000001</v>
      </c>
      <c r="AW8" s="38">
        <f t="shared" si="45"/>
        <v>-14060.800000000001</v>
      </c>
      <c r="AX8" s="38">
        <f t="shared" si="45"/>
        <v>-14060.800000000001</v>
      </c>
      <c r="AY8" s="38">
        <f t="shared" si="45"/>
        <v>-14060.800000000001</v>
      </c>
      <c r="AZ8" s="38">
        <f t="shared" si="45"/>
        <v>-14060.800000000001</v>
      </c>
      <c r="BA8" s="38">
        <f t="shared" si="45"/>
        <v>-14060.800000000001</v>
      </c>
      <c r="BB8" s="38">
        <f t="shared" si="45"/>
        <v>-14060.800000000001</v>
      </c>
      <c r="BC8" s="38">
        <f t="shared" si="45"/>
        <v>-14060.800000000001</v>
      </c>
      <c r="BD8" s="38">
        <f t="shared" si="45"/>
        <v>-14060.800000000001</v>
      </c>
      <c r="BE8" s="89">
        <f t="shared" si="11"/>
        <v>-168729.59999999998</v>
      </c>
      <c r="BF8" s="38">
        <f t="shared" si="12"/>
        <v>-14623.232000000002</v>
      </c>
      <c r="BG8" s="38">
        <f t="shared" ref="BG8:BQ8" si="46">BF8</f>
        <v>-14623.232000000002</v>
      </c>
      <c r="BH8" s="38">
        <f t="shared" si="46"/>
        <v>-14623.232000000002</v>
      </c>
      <c r="BI8" s="38">
        <f t="shared" si="46"/>
        <v>-14623.232000000002</v>
      </c>
      <c r="BJ8" s="38">
        <f t="shared" si="46"/>
        <v>-14623.232000000002</v>
      </c>
      <c r="BK8" s="38">
        <f t="shared" si="46"/>
        <v>-14623.232000000002</v>
      </c>
      <c r="BL8" s="38">
        <f t="shared" si="46"/>
        <v>-14623.232000000002</v>
      </c>
      <c r="BM8" s="38">
        <f t="shared" si="46"/>
        <v>-14623.232000000002</v>
      </c>
      <c r="BN8" s="38">
        <f t="shared" si="46"/>
        <v>-14623.232000000002</v>
      </c>
      <c r="BO8" s="38">
        <f t="shared" si="46"/>
        <v>-14623.232000000002</v>
      </c>
      <c r="BP8" s="38">
        <f t="shared" si="46"/>
        <v>-14623.232000000002</v>
      </c>
      <c r="BQ8" s="38">
        <f t="shared" si="46"/>
        <v>-14623.232000000002</v>
      </c>
      <c r="BR8" s="89">
        <f t="shared" si="14"/>
        <v>-175478.78399999999</v>
      </c>
      <c r="BS8" s="38">
        <f t="shared" si="15"/>
        <v>-15208.161280000002</v>
      </c>
      <c r="BT8" s="38">
        <f t="shared" ref="BT8:CD8" si="47">BS8</f>
        <v>-15208.161280000002</v>
      </c>
      <c r="BU8" s="38">
        <f t="shared" si="47"/>
        <v>-15208.161280000002</v>
      </c>
      <c r="BV8" s="38">
        <f t="shared" si="47"/>
        <v>-15208.161280000002</v>
      </c>
      <c r="BW8" s="38">
        <f t="shared" si="47"/>
        <v>-15208.161280000002</v>
      </c>
      <c r="BX8" s="38">
        <f t="shared" si="47"/>
        <v>-15208.161280000002</v>
      </c>
      <c r="BY8" s="38">
        <f t="shared" si="47"/>
        <v>-15208.161280000002</v>
      </c>
      <c r="BZ8" s="38">
        <f t="shared" si="47"/>
        <v>-15208.161280000002</v>
      </c>
      <c r="CA8" s="38">
        <f t="shared" si="47"/>
        <v>-15208.161280000002</v>
      </c>
      <c r="CB8" s="38">
        <f t="shared" si="47"/>
        <v>-15208.161280000002</v>
      </c>
      <c r="CC8" s="38">
        <f t="shared" si="47"/>
        <v>-15208.161280000002</v>
      </c>
      <c r="CD8" s="38">
        <f t="shared" si="47"/>
        <v>-15208.161280000002</v>
      </c>
      <c r="CE8" s="89">
        <f t="shared" si="17"/>
        <v>-182497.93536000003</v>
      </c>
      <c r="CF8" s="38">
        <f t="shared" si="18"/>
        <v>-15816.487731200003</v>
      </c>
      <c r="CG8" s="38">
        <f t="shared" ref="CG8:CQ8" si="48">CF8</f>
        <v>-15816.487731200003</v>
      </c>
      <c r="CH8" s="38">
        <f t="shared" si="48"/>
        <v>-15816.487731200003</v>
      </c>
      <c r="CI8" s="38">
        <f t="shared" si="48"/>
        <v>-15816.487731200003</v>
      </c>
      <c r="CJ8" s="38">
        <f t="shared" si="48"/>
        <v>-15816.487731200003</v>
      </c>
      <c r="CK8" s="38">
        <f t="shared" si="48"/>
        <v>-15816.487731200003</v>
      </c>
      <c r="CL8" s="38">
        <f t="shared" si="48"/>
        <v>-15816.487731200003</v>
      </c>
      <c r="CM8" s="38">
        <f t="shared" si="48"/>
        <v>-15816.487731200003</v>
      </c>
      <c r="CN8" s="38">
        <f t="shared" si="48"/>
        <v>-15816.487731200003</v>
      </c>
      <c r="CO8" s="38">
        <f t="shared" si="48"/>
        <v>-15816.487731200003</v>
      </c>
      <c r="CP8" s="38">
        <f t="shared" si="48"/>
        <v>-15816.487731200003</v>
      </c>
      <c r="CQ8" s="38">
        <f t="shared" si="48"/>
        <v>-15816.487731200003</v>
      </c>
      <c r="CR8" s="89">
        <f t="shared" si="20"/>
        <v>-189797.85277440003</v>
      </c>
    </row>
    <row r="9" spans="1:96" ht="14.25" customHeight="1" x14ac:dyDescent="0.4">
      <c r="A9" s="71"/>
      <c r="B9" t="s">
        <v>518</v>
      </c>
      <c r="C9" t="s">
        <v>519</v>
      </c>
      <c r="D9" s="89">
        <f t="shared" si="0"/>
        <v>-473897.66885376035</v>
      </c>
      <c r="F9" s="87">
        <v>-5000</v>
      </c>
      <c r="G9" s="87">
        <f t="shared" ref="G9:Q9" si="49">F9</f>
        <v>-5000</v>
      </c>
      <c r="H9" s="87">
        <f t="shared" si="49"/>
        <v>-5000</v>
      </c>
      <c r="I9" s="87">
        <f t="shared" si="49"/>
        <v>-5000</v>
      </c>
      <c r="J9" s="87">
        <f t="shared" si="49"/>
        <v>-5000</v>
      </c>
      <c r="K9" s="87">
        <f t="shared" si="49"/>
        <v>-5000</v>
      </c>
      <c r="L9" s="87">
        <f t="shared" si="49"/>
        <v>-5000</v>
      </c>
      <c r="M9" s="87">
        <f t="shared" si="49"/>
        <v>-5000</v>
      </c>
      <c r="N9" s="87">
        <f t="shared" si="49"/>
        <v>-5000</v>
      </c>
      <c r="O9" s="87">
        <f t="shared" si="49"/>
        <v>-5000</v>
      </c>
      <c r="P9" s="87">
        <f t="shared" si="49"/>
        <v>-5000</v>
      </c>
      <c r="Q9" s="87">
        <f t="shared" si="49"/>
        <v>-5000</v>
      </c>
      <c r="R9" s="89">
        <f t="shared" si="2"/>
        <v>-60000</v>
      </c>
      <c r="S9" s="38">
        <f t="shared" si="3"/>
        <v>-5200</v>
      </c>
      <c r="T9" s="38">
        <f t="shared" ref="T9:AD9" si="50">S9</f>
        <v>-5200</v>
      </c>
      <c r="U9" s="38">
        <f t="shared" si="50"/>
        <v>-5200</v>
      </c>
      <c r="V9" s="38">
        <f t="shared" si="50"/>
        <v>-5200</v>
      </c>
      <c r="W9" s="38">
        <f t="shared" si="50"/>
        <v>-5200</v>
      </c>
      <c r="X9" s="38">
        <f t="shared" si="50"/>
        <v>-5200</v>
      </c>
      <c r="Y9" s="38">
        <f t="shared" si="50"/>
        <v>-5200</v>
      </c>
      <c r="Z9" s="38">
        <f t="shared" si="50"/>
        <v>-5200</v>
      </c>
      <c r="AA9" s="38">
        <f t="shared" si="50"/>
        <v>-5200</v>
      </c>
      <c r="AB9" s="38">
        <f t="shared" si="50"/>
        <v>-5200</v>
      </c>
      <c r="AC9" s="38">
        <f t="shared" si="50"/>
        <v>-5200</v>
      </c>
      <c r="AD9" s="38">
        <f t="shared" si="50"/>
        <v>-5200</v>
      </c>
      <c r="AE9" s="89">
        <f t="shared" si="5"/>
        <v>-62400</v>
      </c>
      <c r="AF9" s="38">
        <f t="shared" si="6"/>
        <v>-5408</v>
      </c>
      <c r="AG9" s="38">
        <f t="shared" ref="AG9:AQ9" si="51">AF9</f>
        <v>-5408</v>
      </c>
      <c r="AH9" s="38">
        <f t="shared" si="51"/>
        <v>-5408</v>
      </c>
      <c r="AI9" s="38">
        <f t="shared" si="51"/>
        <v>-5408</v>
      </c>
      <c r="AJ9" s="38">
        <f t="shared" si="51"/>
        <v>-5408</v>
      </c>
      <c r="AK9" s="38">
        <f t="shared" si="51"/>
        <v>-5408</v>
      </c>
      <c r="AL9" s="38">
        <f t="shared" si="51"/>
        <v>-5408</v>
      </c>
      <c r="AM9" s="38">
        <f t="shared" si="51"/>
        <v>-5408</v>
      </c>
      <c r="AN9" s="38">
        <f t="shared" si="51"/>
        <v>-5408</v>
      </c>
      <c r="AO9" s="38">
        <f t="shared" si="51"/>
        <v>-5408</v>
      </c>
      <c r="AP9" s="38">
        <f t="shared" si="51"/>
        <v>-5408</v>
      </c>
      <c r="AQ9" s="38">
        <f t="shared" si="51"/>
        <v>-5408</v>
      </c>
      <c r="AR9" s="89">
        <f t="shared" si="8"/>
        <v>-64896</v>
      </c>
      <c r="AS9" s="38">
        <f t="shared" si="9"/>
        <v>-5624.3200000000006</v>
      </c>
      <c r="AT9" s="38">
        <f t="shared" ref="AT9:BD9" si="52">AS9</f>
        <v>-5624.3200000000006</v>
      </c>
      <c r="AU9" s="38">
        <f t="shared" si="52"/>
        <v>-5624.3200000000006</v>
      </c>
      <c r="AV9" s="38">
        <f t="shared" si="52"/>
        <v>-5624.3200000000006</v>
      </c>
      <c r="AW9" s="38">
        <f t="shared" si="52"/>
        <v>-5624.3200000000006</v>
      </c>
      <c r="AX9" s="38">
        <f t="shared" si="52"/>
        <v>-5624.3200000000006</v>
      </c>
      <c r="AY9" s="38">
        <f t="shared" si="52"/>
        <v>-5624.3200000000006</v>
      </c>
      <c r="AZ9" s="38">
        <f t="shared" si="52"/>
        <v>-5624.3200000000006</v>
      </c>
      <c r="BA9" s="38">
        <f t="shared" si="52"/>
        <v>-5624.3200000000006</v>
      </c>
      <c r="BB9" s="38">
        <f t="shared" si="52"/>
        <v>-5624.3200000000006</v>
      </c>
      <c r="BC9" s="38">
        <f t="shared" si="52"/>
        <v>-5624.3200000000006</v>
      </c>
      <c r="BD9" s="38">
        <f t="shared" si="52"/>
        <v>-5624.3200000000006</v>
      </c>
      <c r="BE9" s="89">
        <f t="shared" si="11"/>
        <v>-67491.840000000011</v>
      </c>
      <c r="BF9" s="38">
        <f t="shared" si="12"/>
        <v>-5849.2928000000011</v>
      </c>
      <c r="BG9" s="38">
        <f t="shared" ref="BG9:BQ9" si="53">BF9</f>
        <v>-5849.2928000000011</v>
      </c>
      <c r="BH9" s="38">
        <f t="shared" si="53"/>
        <v>-5849.2928000000011</v>
      </c>
      <c r="BI9" s="38">
        <f t="shared" si="53"/>
        <v>-5849.2928000000011</v>
      </c>
      <c r="BJ9" s="38">
        <f t="shared" si="53"/>
        <v>-5849.2928000000011</v>
      </c>
      <c r="BK9" s="38">
        <f t="shared" si="53"/>
        <v>-5849.2928000000011</v>
      </c>
      <c r="BL9" s="38">
        <f t="shared" si="53"/>
        <v>-5849.2928000000011</v>
      </c>
      <c r="BM9" s="38">
        <f t="shared" si="53"/>
        <v>-5849.2928000000011</v>
      </c>
      <c r="BN9" s="38">
        <f t="shared" si="53"/>
        <v>-5849.2928000000011</v>
      </c>
      <c r="BO9" s="38">
        <f t="shared" si="53"/>
        <v>-5849.2928000000011</v>
      </c>
      <c r="BP9" s="38">
        <f t="shared" si="53"/>
        <v>-5849.2928000000011</v>
      </c>
      <c r="BQ9" s="38">
        <f t="shared" si="53"/>
        <v>-5849.2928000000011</v>
      </c>
      <c r="BR9" s="89">
        <f t="shared" si="14"/>
        <v>-70191.51360000002</v>
      </c>
      <c r="BS9" s="38">
        <f t="shared" si="15"/>
        <v>-6083.2645120000016</v>
      </c>
      <c r="BT9" s="38">
        <f t="shared" ref="BT9:CD9" si="54">BS9</f>
        <v>-6083.2645120000016</v>
      </c>
      <c r="BU9" s="38">
        <f t="shared" si="54"/>
        <v>-6083.2645120000016</v>
      </c>
      <c r="BV9" s="38">
        <f t="shared" si="54"/>
        <v>-6083.2645120000016</v>
      </c>
      <c r="BW9" s="38">
        <f t="shared" si="54"/>
        <v>-6083.2645120000016</v>
      </c>
      <c r="BX9" s="38">
        <f t="shared" si="54"/>
        <v>-6083.2645120000016</v>
      </c>
      <c r="BY9" s="38">
        <f t="shared" si="54"/>
        <v>-6083.2645120000016</v>
      </c>
      <c r="BZ9" s="38">
        <f t="shared" si="54"/>
        <v>-6083.2645120000016</v>
      </c>
      <c r="CA9" s="38">
        <f t="shared" si="54"/>
        <v>-6083.2645120000016</v>
      </c>
      <c r="CB9" s="38">
        <f t="shared" si="54"/>
        <v>-6083.2645120000016</v>
      </c>
      <c r="CC9" s="38">
        <f t="shared" si="54"/>
        <v>-6083.2645120000016</v>
      </c>
      <c r="CD9" s="38">
        <f t="shared" si="54"/>
        <v>-6083.2645120000016</v>
      </c>
      <c r="CE9" s="89">
        <f t="shared" si="17"/>
        <v>-72999.174144000019</v>
      </c>
      <c r="CF9" s="38">
        <f t="shared" si="18"/>
        <v>-6326.5950924800018</v>
      </c>
      <c r="CG9" s="38">
        <f t="shared" ref="CG9:CQ9" si="55">CF9</f>
        <v>-6326.5950924800018</v>
      </c>
      <c r="CH9" s="38">
        <f t="shared" si="55"/>
        <v>-6326.5950924800018</v>
      </c>
      <c r="CI9" s="38">
        <f t="shared" si="55"/>
        <v>-6326.5950924800018</v>
      </c>
      <c r="CJ9" s="38">
        <f t="shared" si="55"/>
        <v>-6326.5950924800018</v>
      </c>
      <c r="CK9" s="38">
        <f t="shared" si="55"/>
        <v>-6326.5950924800018</v>
      </c>
      <c r="CL9" s="38">
        <f t="shared" si="55"/>
        <v>-6326.5950924800018</v>
      </c>
      <c r="CM9" s="38">
        <f t="shared" si="55"/>
        <v>-6326.5950924800018</v>
      </c>
      <c r="CN9" s="38">
        <f t="shared" si="55"/>
        <v>-6326.5950924800018</v>
      </c>
      <c r="CO9" s="38">
        <f t="shared" si="55"/>
        <v>-6326.5950924800018</v>
      </c>
      <c r="CP9" s="38">
        <f t="shared" si="55"/>
        <v>-6326.5950924800018</v>
      </c>
      <c r="CQ9" s="38">
        <f t="shared" si="55"/>
        <v>-6326.5950924800018</v>
      </c>
      <c r="CR9" s="89">
        <f t="shared" si="20"/>
        <v>-75919.141109760007</v>
      </c>
    </row>
    <row r="10" spans="1:96" ht="14.25" customHeight="1" x14ac:dyDescent="0.4">
      <c r="A10" s="71"/>
      <c r="B10" t="s">
        <v>520</v>
      </c>
      <c r="C10" t="s">
        <v>521</v>
      </c>
      <c r="D10" s="89">
        <f t="shared" si="0"/>
        <v>-1326913.4727905276</v>
      </c>
      <c r="F10" s="87">
        <v>-14000</v>
      </c>
      <c r="G10" s="87">
        <f t="shared" ref="G10:Q10" si="56">F10</f>
        <v>-14000</v>
      </c>
      <c r="H10" s="87">
        <f t="shared" si="56"/>
        <v>-14000</v>
      </c>
      <c r="I10" s="87">
        <f t="shared" si="56"/>
        <v>-14000</v>
      </c>
      <c r="J10" s="87">
        <f t="shared" si="56"/>
        <v>-14000</v>
      </c>
      <c r="K10" s="87">
        <f t="shared" si="56"/>
        <v>-14000</v>
      </c>
      <c r="L10" s="87">
        <f t="shared" si="56"/>
        <v>-14000</v>
      </c>
      <c r="M10" s="87">
        <f t="shared" si="56"/>
        <v>-14000</v>
      </c>
      <c r="N10" s="87">
        <f t="shared" si="56"/>
        <v>-14000</v>
      </c>
      <c r="O10" s="87">
        <f t="shared" si="56"/>
        <v>-14000</v>
      </c>
      <c r="P10" s="87">
        <f t="shared" si="56"/>
        <v>-14000</v>
      </c>
      <c r="Q10" s="87">
        <f t="shared" si="56"/>
        <v>-14000</v>
      </c>
      <c r="R10" s="89">
        <f t="shared" si="2"/>
        <v>-168000</v>
      </c>
      <c r="S10" s="38">
        <f t="shared" si="3"/>
        <v>-14560</v>
      </c>
      <c r="T10" s="38">
        <f t="shared" ref="T10:AD10" si="57">S10</f>
        <v>-14560</v>
      </c>
      <c r="U10" s="38">
        <f t="shared" si="57"/>
        <v>-14560</v>
      </c>
      <c r="V10" s="38">
        <f t="shared" si="57"/>
        <v>-14560</v>
      </c>
      <c r="W10" s="38">
        <f t="shared" si="57"/>
        <v>-14560</v>
      </c>
      <c r="X10" s="38">
        <f t="shared" si="57"/>
        <v>-14560</v>
      </c>
      <c r="Y10" s="38">
        <f t="shared" si="57"/>
        <v>-14560</v>
      </c>
      <c r="Z10" s="38">
        <f t="shared" si="57"/>
        <v>-14560</v>
      </c>
      <c r="AA10" s="38">
        <f t="shared" si="57"/>
        <v>-14560</v>
      </c>
      <c r="AB10" s="38">
        <f t="shared" si="57"/>
        <v>-14560</v>
      </c>
      <c r="AC10" s="38">
        <f t="shared" si="57"/>
        <v>-14560</v>
      </c>
      <c r="AD10" s="38">
        <f t="shared" si="57"/>
        <v>-14560</v>
      </c>
      <c r="AE10" s="89">
        <f t="shared" si="5"/>
        <v>-174720</v>
      </c>
      <c r="AF10" s="38">
        <f t="shared" si="6"/>
        <v>-15142.4</v>
      </c>
      <c r="AG10" s="38">
        <f t="shared" ref="AG10:AQ10" si="58">AF10</f>
        <v>-15142.4</v>
      </c>
      <c r="AH10" s="38">
        <f t="shared" si="58"/>
        <v>-15142.4</v>
      </c>
      <c r="AI10" s="38">
        <f t="shared" si="58"/>
        <v>-15142.4</v>
      </c>
      <c r="AJ10" s="38">
        <f t="shared" si="58"/>
        <v>-15142.4</v>
      </c>
      <c r="AK10" s="38">
        <f t="shared" si="58"/>
        <v>-15142.4</v>
      </c>
      <c r="AL10" s="38">
        <f t="shared" si="58"/>
        <v>-15142.4</v>
      </c>
      <c r="AM10" s="38">
        <f t="shared" si="58"/>
        <v>-15142.4</v>
      </c>
      <c r="AN10" s="38">
        <f t="shared" si="58"/>
        <v>-15142.4</v>
      </c>
      <c r="AO10" s="38">
        <f t="shared" si="58"/>
        <v>-15142.4</v>
      </c>
      <c r="AP10" s="38">
        <f t="shared" si="58"/>
        <v>-15142.4</v>
      </c>
      <c r="AQ10" s="38">
        <f t="shared" si="58"/>
        <v>-15142.4</v>
      </c>
      <c r="AR10" s="89">
        <f t="shared" si="8"/>
        <v>-181708.79999999996</v>
      </c>
      <c r="AS10" s="38">
        <f t="shared" si="9"/>
        <v>-15748.096</v>
      </c>
      <c r="AT10" s="38">
        <f t="shared" ref="AT10:BD10" si="59">AS10</f>
        <v>-15748.096</v>
      </c>
      <c r="AU10" s="38">
        <f t="shared" si="59"/>
        <v>-15748.096</v>
      </c>
      <c r="AV10" s="38">
        <f t="shared" si="59"/>
        <v>-15748.096</v>
      </c>
      <c r="AW10" s="38">
        <f t="shared" si="59"/>
        <v>-15748.096</v>
      </c>
      <c r="AX10" s="38">
        <f t="shared" si="59"/>
        <v>-15748.096</v>
      </c>
      <c r="AY10" s="38">
        <f t="shared" si="59"/>
        <v>-15748.096</v>
      </c>
      <c r="AZ10" s="38">
        <f t="shared" si="59"/>
        <v>-15748.096</v>
      </c>
      <c r="BA10" s="38">
        <f t="shared" si="59"/>
        <v>-15748.096</v>
      </c>
      <c r="BB10" s="38">
        <f t="shared" si="59"/>
        <v>-15748.096</v>
      </c>
      <c r="BC10" s="38">
        <f t="shared" si="59"/>
        <v>-15748.096</v>
      </c>
      <c r="BD10" s="38">
        <f t="shared" si="59"/>
        <v>-15748.096</v>
      </c>
      <c r="BE10" s="89">
        <f t="shared" si="11"/>
        <v>-188977.15199999997</v>
      </c>
      <c r="BF10" s="38">
        <f t="shared" si="12"/>
        <v>-16378.019840000001</v>
      </c>
      <c r="BG10" s="38">
        <f t="shared" ref="BG10:BQ10" si="60">BF10</f>
        <v>-16378.019840000001</v>
      </c>
      <c r="BH10" s="38">
        <f t="shared" si="60"/>
        <v>-16378.019840000001</v>
      </c>
      <c r="BI10" s="38">
        <f t="shared" si="60"/>
        <v>-16378.019840000001</v>
      </c>
      <c r="BJ10" s="38">
        <f t="shared" si="60"/>
        <v>-16378.019840000001</v>
      </c>
      <c r="BK10" s="38">
        <f t="shared" si="60"/>
        <v>-16378.019840000001</v>
      </c>
      <c r="BL10" s="38">
        <f t="shared" si="60"/>
        <v>-16378.019840000001</v>
      </c>
      <c r="BM10" s="38">
        <f t="shared" si="60"/>
        <v>-16378.019840000001</v>
      </c>
      <c r="BN10" s="38">
        <f t="shared" si="60"/>
        <v>-16378.019840000001</v>
      </c>
      <c r="BO10" s="38">
        <f t="shared" si="60"/>
        <v>-16378.019840000001</v>
      </c>
      <c r="BP10" s="38">
        <f t="shared" si="60"/>
        <v>-16378.019840000001</v>
      </c>
      <c r="BQ10" s="38">
        <f t="shared" si="60"/>
        <v>-16378.019840000001</v>
      </c>
      <c r="BR10" s="89">
        <f t="shared" si="14"/>
        <v>-196536.23807999995</v>
      </c>
      <c r="BS10" s="38">
        <f t="shared" si="15"/>
        <v>-17033.1406336</v>
      </c>
      <c r="BT10" s="38">
        <f t="shared" ref="BT10:CD10" si="61">BS10</f>
        <v>-17033.1406336</v>
      </c>
      <c r="BU10" s="38">
        <f t="shared" si="61"/>
        <v>-17033.1406336</v>
      </c>
      <c r="BV10" s="38">
        <f t="shared" si="61"/>
        <v>-17033.1406336</v>
      </c>
      <c r="BW10" s="38">
        <f t="shared" si="61"/>
        <v>-17033.1406336</v>
      </c>
      <c r="BX10" s="38">
        <f t="shared" si="61"/>
        <v>-17033.1406336</v>
      </c>
      <c r="BY10" s="38">
        <f t="shared" si="61"/>
        <v>-17033.1406336</v>
      </c>
      <c r="BZ10" s="38">
        <f t="shared" si="61"/>
        <v>-17033.1406336</v>
      </c>
      <c r="CA10" s="38">
        <f t="shared" si="61"/>
        <v>-17033.1406336</v>
      </c>
      <c r="CB10" s="38">
        <f t="shared" si="61"/>
        <v>-17033.1406336</v>
      </c>
      <c r="CC10" s="38">
        <f t="shared" si="61"/>
        <v>-17033.1406336</v>
      </c>
      <c r="CD10" s="38">
        <f t="shared" si="61"/>
        <v>-17033.1406336</v>
      </c>
      <c r="CE10" s="89">
        <f t="shared" si="17"/>
        <v>-204397.68760320006</v>
      </c>
      <c r="CF10" s="38">
        <f t="shared" si="18"/>
        <v>-17714.466258944001</v>
      </c>
      <c r="CG10" s="38">
        <f t="shared" ref="CG10:CQ10" si="62">CF10</f>
        <v>-17714.466258944001</v>
      </c>
      <c r="CH10" s="38">
        <f t="shared" si="62"/>
        <v>-17714.466258944001</v>
      </c>
      <c r="CI10" s="38">
        <f t="shared" si="62"/>
        <v>-17714.466258944001</v>
      </c>
      <c r="CJ10" s="38">
        <f t="shared" si="62"/>
        <v>-17714.466258944001</v>
      </c>
      <c r="CK10" s="38">
        <f t="shared" si="62"/>
        <v>-17714.466258944001</v>
      </c>
      <c r="CL10" s="38">
        <f t="shared" si="62"/>
        <v>-17714.466258944001</v>
      </c>
      <c r="CM10" s="38">
        <f t="shared" si="62"/>
        <v>-17714.466258944001</v>
      </c>
      <c r="CN10" s="38">
        <f t="shared" si="62"/>
        <v>-17714.466258944001</v>
      </c>
      <c r="CO10" s="38">
        <f t="shared" si="62"/>
        <v>-17714.466258944001</v>
      </c>
      <c r="CP10" s="38">
        <f t="shared" si="62"/>
        <v>-17714.466258944001</v>
      </c>
      <c r="CQ10" s="38">
        <f t="shared" si="62"/>
        <v>-17714.466258944001</v>
      </c>
      <c r="CR10" s="89">
        <f t="shared" si="20"/>
        <v>-212573.59510732806</v>
      </c>
    </row>
    <row r="11" spans="1:96" ht="14.25" customHeight="1" x14ac:dyDescent="0.4">
      <c r="A11" s="71"/>
      <c r="B11" t="s">
        <v>522</v>
      </c>
      <c r="C11" t="s">
        <v>523</v>
      </c>
      <c r="D11" s="89">
        <f t="shared" si="0"/>
        <v>-426507.90196838323</v>
      </c>
      <c r="F11" s="87">
        <v>-4500</v>
      </c>
      <c r="G11" s="87">
        <f t="shared" ref="G11:Q11" si="63">F11</f>
        <v>-4500</v>
      </c>
      <c r="H11" s="87">
        <f t="shared" si="63"/>
        <v>-4500</v>
      </c>
      <c r="I11" s="87">
        <f t="shared" si="63"/>
        <v>-4500</v>
      </c>
      <c r="J11" s="87">
        <f t="shared" si="63"/>
        <v>-4500</v>
      </c>
      <c r="K11" s="87">
        <f t="shared" si="63"/>
        <v>-4500</v>
      </c>
      <c r="L11" s="87">
        <f t="shared" si="63"/>
        <v>-4500</v>
      </c>
      <c r="M11" s="87">
        <f t="shared" si="63"/>
        <v>-4500</v>
      </c>
      <c r="N11" s="87">
        <f t="shared" si="63"/>
        <v>-4500</v>
      </c>
      <c r="O11" s="87">
        <f t="shared" si="63"/>
        <v>-4500</v>
      </c>
      <c r="P11" s="87">
        <f t="shared" si="63"/>
        <v>-4500</v>
      </c>
      <c r="Q11" s="87">
        <f t="shared" si="63"/>
        <v>-4500</v>
      </c>
      <c r="R11" s="89">
        <f t="shared" si="2"/>
        <v>-54000</v>
      </c>
      <c r="S11" s="38">
        <f t="shared" si="3"/>
        <v>-4680</v>
      </c>
      <c r="T11" s="38">
        <f t="shared" ref="T11:AD11" si="64">S11</f>
        <v>-4680</v>
      </c>
      <c r="U11" s="38">
        <f t="shared" si="64"/>
        <v>-4680</v>
      </c>
      <c r="V11" s="38">
        <f t="shared" si="64"/>
        <v>-4680</v>
      </c>
      <c r="W11" s="38">
        <f t="shared" si="64"/>
        <v>-4680</v>
      </c>
      <c r="X11" s="38">
        <f t="shared" si="64"/>
        <v>-4680</v>
      </c>
      <c r="Y11" s="38">
        <f t="shared" si="64"/>
        <v>-4680</v>
      </c>
      <c r="Z11" s="38">
        <f t="shared" si="64"/>
        <v>-4680</v>
      </c>
      <c r="AA11" s="38">
        <f t="shared" si="64"/>
        <v>-4680</v>
      </c>
      <c r="AB11" s="38">
        <f t="shared" si="64"/>
        <v>-4680</v>
      </c>
      <c r="AC11" s="38">
        <f t="shared" si="64"/>
        <v>-4680</v>
      </c>
      <c r="AD11" s="38">
        <f t="shared" si="64"/>
        <v>-4680</v>
      </c>
      <c r="AE11" s="89">
        <f t="shared" si="5"/>
        <v>-56160</v>
      </c>
      <c r="AF11" s="38">
        <f t="shared" si="6"/>
        <v>-4867.2</v>
      </c>
      <c r="AG11" s="38">
        <f t="shared" ref="AG11:AQ11" si="65">AF11</f>
        <v>-4867.2</v>
      </c>
      <c r="AH11" s="38">
        <f t="shared" si="65"/>
        <v>-4867.2</v>
      </c>
      <c r="AI11" s="38">
        <f t="shared" si="65"/>
        <v>-4867.2</v>
      </c>
      <c r="AJ11" s="38">
        <f t="shared" si="65"/>
        <v>-4867.2</v>
      </c>
      <c r="AK11" s="38">
        <f t="shared" si="65"/>
        <v>-4867.2</v>
      </c>
      <c r="AL11" s="38">
        <f t="shared" si="65"/>
        <v>-4867.2</v>
      </c>
      <c r="AM11" s="38">
        <f t="shared" si="65"/>
        <v>-4867.2</v>
      </c>
      <c r="AN11" s="38">
        <f t="shared" si="65"/>
        <v>-4867.2</v>
      </c>
      <c r="AO11" s="38">
        <f t="shared" si="65"/>
        <v>-4867.2</v>
      </c>
      <c r="AP11" s="38">
        <f t="shared" si="65"/>
        <v>-4867.2</v>
      </c>
      <c r="AQ11" s="38">
        <f t="shared" si="65"/>
        <v>-4867.2</v>
      </c>
      <c r="AR11" s="89">
        <f t="shared" si="8"/>
        <v>-58406.399999999987</v>
      </c>
      <c r="AS11" s="38">
        <f t="shared" si="9"/>
        <v>-5061.8879999999999</v>
      </c>
      <c r="AT11" s="38">
        <f t="shared" ref="AT11:BD11" si="66">AS11</f>
        <v>-5061.8879999999999</v>
      </c>
      <c r="AU11" s="38">
        <f t="shared" si="66"/>
        <v>-5061.8879999999999</v>
      </c>
      <c r="AV11" s="38">
        <f t="shared" si="66"/>
        <v>-5061.8879999999999</v>
      </c>
      <c r="AW11" s="38">
        <f t="shared" si="66"/>
        <v>-5061.8879999999999</v>
      </c>
      <c r="AX11" s="38">
        <f t="shared" si="66"/>
        <v>-5061.8879999999999</v>
      </c>
      <c r="AY11" s="38">
        <f t="shared" si="66"/>
        <v>-5061.8879999999999</v>
      </c>
      <c r="AZ11" s="38">
        <f t="shared" si="66"/>
        <v>-5061.8879999999999</v>
      </c>
      <c r="BA11" s="38">
        <f t="shared" si="66"/>
        <v>-5061.8879999999999</v>
      </c>
      <c r="BB11" s="38">
        <f t="shared" si="66"/>
        <v>-5061.8879999999999</v>
      </c>
      <c r="BC11" s="38">
        <f t="shared" si="66"/>
        <v>-5061.8879999999999</v>
      </c>
      <c r="BD11" s="38">
        <f t="shared" si="66"/>
        <v>-5061.8879999999999</v>
      </c>
      <c r="BE11" s="89">
        <f t="shared" si="11"/>
        <v>-60742.655999999995</v>
      </c>
      <c r="BF11" s="38">
        <f t="shared" si="12"/>
        <v>-5264.3635199999999</v>
      </c>
      <c r="BG11" s="38">
        <f t="shared" ref="BG11:BQ11" si="67">BF11</f>
        <v>-5264.3635199999999</v>
      </c>
      <c r="BH11" s="38">
        <f t="shared" si="67"/>
        <v>-5264.3635199999999</v>
      </c>
      <c r="BI11" s="38">
        <f t="shared" si="67"/>
        <v>-5264.3635199999999</v>
      </c>
      <c r="BJ11" s="38">
        <f t="shared" si="67"/>
        <v>-5264.3635199999999</v>
      </c>
      <c r="BK11" s="38">
        <f t="shared" si="67"/>
        <v>-5264.3635199999999</v>
      </c>
      <c r="BL11" s="38">
        <f t="shared" si="67"/>
        <v>-5264.3635199999999</v>
      </c>
      <c r="BM11" s="38">
        <f t="shared" si="67"/>
        <v>-5264.3635199999999</v>
      </c>
      <c r="BN11" s="38">
        <f t="shared" si="67"/>
        <v>-5264.3635199999999</v>
      </c>
      <c r="BO11" s="38">
        <f t="shared" si="67"/>
        <v>-5264.3635199999999</v>
      </c>
      <c r="BP11" s="38">
        <f t="shared" si="67"/>
        <v>-5264.3635199999999</v>
      </c>
      <c r="BQ11" s="38">
        <f t="shared" si="67"/>
        <v>-5264.3635199999999</v>
      </c>
      <c r="BR11" s="89">
        <f t="shared" si="14"/>
        <v>-63172.362239999995</v>
      </c>
      <c r="BS11" s="38">
        <f t="shared" si="15"/>
        <v>-5474.9380608000001</v>
      </c>
      <c r="BT11" s="38">
        <f t="shared" ref="BT11:CD11" si="68">BS11</f>
        <v>-5474.9380608000001</v>
      </c>
      <c r="BU11" s="38">
        <f t="shared" si="68"/>
        <v>-5474.9380608000001</v>
      </c>
      <c r="BV11" s="38">
        <f t="shared" si="68"/>
        <v>-5474.9380608000001</v>
      </c>
      <c r="BW11" s="38">
        <f t="shared" si="68"/>
        <v>-5474.9380608000001</v>
      </c>
      <c r="BX11" s="38">
        <f t="shared" si="68"/>
        <v>-5474.9380608000001</v>
      </c>
      <c r="BY11" s="38">
        <f t="shared" si="68"/>
        <v>-5474.9380608000001</v>
      </c>
      <c r="BZ11" s="38">
        <f t="shared" si="68"/>
        <v>-5474.9380608000001</v>
      </c>
      <c r="CA11" s="38">
        <f t="shared" si="68"/>
        <v>-5474.9380608000001</v>
      </c>
      <c r="CB11" s="38">
        <f t="shared" si="68"/>
        <v>-5474.9380608000001</v>
      </c>
      <c r="CC11" s="38">
        <f t="shared" si="68"/>
        <v>-5474.9380608000001</v>
      </c>
      <c r="CD11" s="38">
        <f t="shared" si="68"/>
        <v>-5474.9380608000001</v>
      </c>
      <c r="CE11" s="89">
        <f t="shared" si="17"/>
        <v>-65699.256729600005</v>
      </c>
      <c r="CF11" s="38">
        <f t="shared" si="18"/>
        <v>-5693.9355832320007</v>
      </c>
      <c r="CG11" s="38">
        <f t="shared" ref="CG11:CQ11" si="69">CF11</f>
        <v>-5693.9355832320007</v>
      </c>
      <c r="CH11" s="38">
        <f t="shared" si="69"/>
        <v>-5693.9355832320007</v>
      </c>
      <c r="CI11" s="38">
        <f t="shared" si="69"/>
        <v>-5693.9355832320007</v>
      </c>
      <c r="CJ11" s="38">
        <f t="shared" si="69"/>
        <v>-5693.9355832320007</v>
      </c>
      <c r="CK11" s="38">
        <f t="shared" si="69"/>
        <v>-5693.9355832320007</v>
      </c>
      <c r="CL11" s="38">
        <f t="shared" si="69"/>
        <v>-5693.9355832320007</v>
      </c>
      <c r="CM11" s="38">
        <f t="shared" si="69"/>
        <v>-5693.9355832320007</v>
      </c>
      <c r="CN11" s="38">
        <f t="shared" si="69"/>
        <v>-5693.9355832320007</v>
      </c>
      <c r="CO11" s="38">
        <f t="shared" si="69"/>
        <v>-5693.9355832320007</v>
      </c>
      <c r="CP11" s="38">
        <f t="shared" si="69"/>
        <v>-5693.9355832320007</v>
      </c>
      <c r="CQ11" s="38">
        <f t="shared" si="69"/>
        <v>-5693.9355832320007</v>
      </c>
      <c r="CR11" s="89">
        <f t="shared" si="20"/>
        <v>-68327.226998784012</v>
      </c>
    </row>
    <row r="12" spans="1:96" ht="14.25" customHeight="1" x14ac:dyDescent="0.4">
      <c r="A12" s="71"/>
      <c r="B12" t="s">
        <v>524</v>
      </c>
      <c r="C12" t="s">
        <v>525</v>
      </c>
      <c r="D12" s="89">
        <f t="shared" si="0"/>
        <v>-1326913.4727905276</v>
      </c>
      <c r="F12" s="87">
        <v>-14000</v>
      </c>
      <c r="G12" s="87">
        <f t="shared" ref="G12:Q12" si="70">F12</f>
        <v>-14000</v>
      </c>
      <c r="H12" s="87">
        <f t="shared" si="70"/>
        <v>-14000</v>
      </c>
      <c r="I12" s="87">
        <f t="shared" si="70"/>
        <v>-14000</v>
      </c>
      <c r="J12" s="87">
        <f t="shared" si="70"/>
        <v>-14000</v>
      </c>
      <c r="K12" s="87">
        <f t="shared" si="70"/>
        <v>-14000</v>
      </c>
      <c r="L12" s="87">
        <f t="shared" si="70"/>
        <v>-14000</v>
      </c>
      <c r="M12" s="87">
        <f t="shared" si="70"/>
        <v>-14000</v>
      </c>
      <c r="N12" s="87">
        <f t="shared" si="70"/>
        <v>-14000</v>
      </c>
      <c r="O12" s="87">
        <f t="shared" si="70"/>
        <v>-14000</v>
      </c>
      <c r="P12" s="87">
        <f t="shared" si="70"/>
        <v>-14000</v>
      </c>
      <c r="Q12" s="87">
        <f t="shared" si="70"/>
        <v>-14000</v>
      </c>
      <c r="R12" s="89">
        <f t="shared" si="2"/>
        <v>-168000</v>
      </c>
      <c r="S12" s="38">
        <f t="shared" si="3"/>
        <v>-14560</v>
      </c>
      <c r="T12" s="38">
        <f t="shared" ref="T12:AD12" si="71">S12</f>
        <v>-14560</v>
      </c>
      <c r="U12" s="38">
        <f t="shared" si="71"/>
        <v>-14560</v>
      </c>
      <c r="V12" s="38">
        <f t="shared" si="71"/>
        <v>-14560</v>
      </c>
      <c r="W12" s="38">
        <f t="shared" si="71"/>
        <v>-14560</v>
      </c>
      <c r="X12" s="38">
        <f t="shared" si="71"/>
        <v>-14560</v>
      </c>
      <c r="Y12" s="38">
        <f t="shared" si="71"/>
        <v>-14560</v>
      </c>
      <c r="Z12" s="38">
        <f t="shared" si="71"/>
        <v>-14560</v>
      </c>
      <c r="AA12" s="38">
        <f t="shared" si="71"/>
        <v>-14560</v>
      </c>
      <c r="AB12" s="38">
        <f t="shared" si="71"/>
        <v>-14560</v>
      </c>
      <c r="AC12" s="38">
        <f t="shared" si="71"/>
        <v>-14560</v>
      </c>
      <c r="AD12" s="38">
        <f t="shared" si="71"/>
        <v>-14560</v>
      </c>
      <c r="AE12" s="89">
        <f t="shared" si="5"/>
        <v>-174720</v>
      </c>
      <c r="AF12" s="38">
        <f t="shared" si="6"/>
        <v>-15142.4</v>
      </c>
      <c r="AG12" s="38">
        <f t="shared" ref="AG12:AQ12" si="72">AF12</f>
        <v>-15142.4</v>
      </c>
      <c r="AH12" s="38">
        <f t="shared" si="72"/>
        <v>-15142.4</v>
      </c>
      <c r="AI12" s="38">
        <f t="shared" si="72"/>
        <v>-15142.4</v>
      </c>
      <c r="AJ12" s="38">
        <f t="shared" si="72"/>
        <v>-15142.4</v>
      </c>
      <c r="AK12" s="38">
        <f t="shared" si="72"/>
        <v>-15142.4</v>
      </c>
      <c r="AL12" s="38">
        <f t="shared" si="72"/>
        <v>-15142.4</v>
      </c>
      <c r="AM12" s="38">
        <f t="shared" si="72"/>
        <v>-15142.4</v>
      </c>
      <c r="AN12" s="38">
        <f t="shared" si="72"/>
        <v>-15142.4</v>
      </c>
      <c r="AO12" s="38">
        <f t="shared" si="72"/>
        <v>-15142.4</v>
      </c>
      <c r="AP12" s="38">
        <f t="shared" si="72"/>
        <v>-15142.4</v>
      </c>
      <c r="AQ12" s="38">
        <f t="shared" si="72"/>
        <v>-15142.4</v>
      </c>
      <c r="AR12" s="89">
        <f t="shared" si="8"/>
        <v>-181708.79999999996</v>
      </c>
      <c r="AS12" s="38">
        <f t="shared" si="9"/>
        <v>-15748.096</v>
      </c>
      <c r="AT12" s="38">
        <f t="shared" ref="AT12:BD12" si="73">AS12</f>
        <v>-15748.096</v>
      </c>
      <c r="AU12" s="38">
        <f t="shared" si="73"/>
        <v>-15748.096</v>
      </c>
      <c r="AV12" s="38">
        <f t="shared" si="73"/>
        <v>-15748.096</v>
      </c>
      <c r="AW12" s="38">
        <f t="shared" si="73"/>
        <v>-15748.096</v>
      </c>
      <c r="AX12" s="38">
        <f t="shared" si="73"/>
        <v>-15748.096</v>
      </c>
      <c r="AY12" s="38">
        <f t="shared" si="73"/>
        <v>-15748.096</v>
      </c>
      <c r="AZ12" s="38">
        <f t="shared" si="73"/>
        <v>-15748.096</v>
      </c>
      <c r="BA12" s="38">
        <f t="shared" si="73"/>
        <v>-15748.096</v>
      </c>
      <c r="BB12" s="38">
        <f t="shared" si="73"/>
        <v>-15748.096</v>
      </c>
      <c r="BC12" s="38">
        <f t="shared" si="73"/>
        <v>-15748.096</v>
      </c>
      <c r="BD12" s="38">
        <f t="shared" si="73"/>
        <v>-15748.096</v>
      </c>
      <c r="BE12" s="89">
        <f t="shared" si="11"/>
        <v>-188977.15199999997</v>
      </c>
      <c r="BF12" s="38">
        <f t="shared" si="12"/>
        <v>-16378.019840000001</v>
      </c>
      <c r="BG12" s="38">
        <f t="shared" ref="BG12:BQ12" si="74">BF12</f>
        <v>-16378.019840000001</v>
      </c>
      <c r="BH12" s="38">
        <f t="shared" si="74"/>
        <v>-16378.019840000001</v>
      </c>
      <c r="BI12" s="38">
        <f t="shared" si="74"/>
        <v>-16378.019840000001</v>
      </c>
      <c r="BJ12" s="38">
        <f t="shared" si="74"/>
        <v>-16378.019840000001</v>
      </c>
      <c r="BK12" s="38">
        <f t="shared" si="74"/>
        <v>-16378.019840000001</v>
      </c>
      <c r="BL12" s="38">
        <f t="shared" si="74"/>
        <v>-16378.019840000001</v>
      </c>
      <c r="BM12" s="38">
        <f t="shared" si="74"/>
        <v>-16378.019840000001</v>
      </c>
      <c r="BN12" s="38">
        <f t="shared" si="74"/>
        <v>-16378.019840000001</v>
      </c>
      <c r="BO12" s="38">
        <f t="shared" si="74"/>
        <v>-16378.019840000001</v>
      </c>
      <c r="BP12" s="38">
        <f t="shared" si="74"/>
        <v>-16378.019840000001</v>
      </c>
      <c r="BQ12" s="38">
        <f t="shared" si="74"/>
        <v>-16378.019840000001</v>
      </c>
      <c r="BR12" s="89">
        <f t="shared" si="14"/>
        <v>-196536.23807999995</v>
      </c>
      <c r="BS12" s="38">
        <f t="shared" si="15"/>
        <v>-17033.1406336</v>
      </c>
      <c r="BT12" s="38">
        <f t="shared" ref="BT12:CD12" si="75">BS12</f>
        <v>-17033.1406336</v>
      </c>
      <c r="BU12" s="38">
        <f t="shared" si="75"/>
        <v>-17033.1406336</v>
      </c>
      <c r="BV12" s="38">
        <f t="shared" si="75"/>
        <v>-17033.1406336</v>
      </c>
      <c r="BW12" s="38">
        <f t="shared" si="75"/>
        <v>-17033.1406336</v>
      </c>
      <c r="BX12" s="38">
        <f t="shared" si="75"/>
        <v>-17033.1406336</v>
      </c>
      <c r="BY12" s="38">
        <f t="shared" si="75"/>
        <v>-17033.1406336</v>
      </c>
      <c r="BZ12" s="38">
        <f t="shared" si="75"/>
        <v>-17033.1406336</v>
      </c>
      <c r="CA12" s="38">
        <f t="shared" si="75"/>
        <v>-17033.1406336</v>
      </c>
      <c r="CB12" s="38">
        <f t="shared" si="75"/>
        <v>-17033.1406336</v>
      </c>
      <c r="CC12" s="38">
        <f t="shared" si="75"/>
        <v>-17033.1406336</v>
      </c>
      <c r="CD12" s="38">
        <f t="shared" si="75"/>
        <v>-17033.1406336</v>
      </c>
      <c r="CE12" s="89">
        <f t="shared" si="17"/>
        <v>-204397.68760320006</v>
      </c>
      <c r="CF12" s="38">
        <f t="shared" si="18"/>
        <v>-17714.466258944001</v>
      </c>
      <c r="CG12" s="38">
        <f t="shared" ref="CG12:CQ12" si="76">CF12</f>
        <v>-17714.466258944001</v>
      </c>
      <c r="CH12" s="38">
        <f t="shared" si="76"/>
        <v>-17714.466258944001</v>
      </c>
      <c r="CI12" s="38">
        <f t="shared" si="76"/>
        <v>-17714.466258944001</v>
      </c>
      <c r="CJ12" s="38">
        <f t="shared" si="76"/>
        <v>-17714.466258944001</v>
      </c>
      <c r="CK12" s="38">
        <f t="shared" si="76"/>
        <v>-17714.466258944001</v>
      </c>
      <c r="CL12" s="38">
        <f t="shared" si="76"/>
        <v>-17714.466258944001</v>
      </c>
      <c r="CM12" s="38">
        <f t="shared" si="76"/>
        <v>-17714.466258944001</v>
      </c>
      <c r="CN12" s="38">
        <f t="shared" si="76"/>
        <v>-17714.466258944001</v>
      </c>
      <c r="CO12" s="38">
        <f t="shared" si="76"/>
        <v>-17714.466258944001</v>
      </c>
      <c r="CP12" s="38">
        <f t="shared" si="76"/>
        <v>-17714.466258944001</v>
      </c>
      <c r="CQ12" s="38">
        <f t="shared" si="76"/>
        <v>-17714.466258944001</v>
      </c>
      <c r="CR12" s="89">
        <f t="shared" si="20"/>
        <v>-212573.59510732806</v>
      </c>
    </row>
    <row r="13" spans="1:96" ht="14.25" customHeight="1" x14ac:dyDescent="0.4">
      <c r="A13" s="71"/>
      <c r="B13" t="s">
        <v>526</v>
      </c>
      <c r="C13" t="s">
        <v>527</v>
      </c>
      <c r="D13" s="89">
        <f t="shared" si="0"/>
        <v>-1326913.4727905276</v>
      </c>
      <c r="F13" s="87">
        <v>-14000</v>
      </c>
      <c r="G13" s="87">
        <f t="shared" ref="G13:Q13" si="77">F13</f>
        <v>-14000</v>
      </c>
      <c r="H13" s="87">
        <f t="shared" si="77"/>
        <v>-14000</v>
      </c>
      <c r="I13" s="87">
        <f t="shared" si="77"/>
        <v>-14000</v>
      </c>
      <c r="J13" s="87">
        <f t="shared" si="77"/>
        <v>-14000</v>
      </c>
      <c r="K13" s="87">
        <f t="shared" si="77"/>
        <v>-14000</v>
      </c>
      <c r="L13" s="87">
        <f t="shared" si="77"/>
        <v>-14000</v>
      </c>
      <c r="M13" s="87">
        <f t="shared" si="77"/>
        <v>-14000</v>
      </c>
      <c r="N13" s="87">
        <f t="shared" si="77"/>
        <v>-14000</v>
      </c>
      <c r="O13" s="87">
        <f t="shared" si="77"/>
        <v>-14000</v>
      </c>
      <c r="P13" s="87">
        <f t="shared" si="77"/>
        <v>-14000</v>
      </c>
      <c r="Q13" s="87">
        <f t="shared" si="77"/>
        <v>-14000</v>
      </c>
      <c r="R13" s="89">
        <f t="shared" si="2"/>
        <v>-168000</v>
      </c>
      <c r="S13" s="38">
        <f t="shared" si="3"/>
        <v>-14560</v>
      </c>
      <c r="T13" s="38">
        <f t="shared" ref="T13:AD13" si="78">S13</f>
        <v>-14560</v>
      </c>
      <c r="U13" s="38">
        <f t="shared" si="78"/>
        <v>-14560</v>
      </c>
      <c r="V13" s="38">
        <f t="shared" si="78"/>
        <v>-14560</v>
      </c>
      <c r="W13" s="38">
        <f t="shared" si="78"/>
        <v>-14560</v>
      </c>
      <c r="X13" s="38">
        <f t="shared" si="78"/>
        <v>-14560</v>
      </c>
      <c r="Y13" s="38">
        <f t="shared" si="78"/>
        <v>-14560</v>
      </c>
      <c r="Z13" s="38">
        <f t="shared" si="78"/>
        <v>-14560</v>
      </c>
      <c r="AA13" s="38">
        <f t="shared" si="78"/>
        <v>-14560</v>
      </c>
      <c r="AB13" s="38">
        <f t="shared" si="78"/>
        <v>-14560</v>
      </c>
      <c r="AC13" s="38">
        <f t="shared" si="78"/>
        <v>-14560</v>
      </c>
      <c r="AD13" s="38">
        <f t="shared" si="78"/>
        <v>-14560</v>
      </c>
      <c r="AE13" s="89">
        <f t="shared" si="5"/>
        <v>-174720</v>
      </c>
      <c r="AF13" s="38">
        <f t="shared" si="6"/>
        <v>-15142.4</v>
      </c>
      <c r="AG13" s="38">
        <f t="shared" ref="AG13:AQ13" si="79">AF13</f>
        <v>-15142.4</v>
      </c>
      <c r="AH13" s="38">
        <f t="shared" si="79"/>
        <v>-15142.4</v>
      </c>
      <c r="AI13" s="38">
        <f t="shared" si="79"/>
        <v>-15142.4</v>
      </c>
      <c r="AJ13" s="38">
        <f t="shared" si="79"/>
        <v>-15142.4</v>
      </c>
      <c r="AK13" s="38">
        <f t="shared" si="79"/>
        <v>-15142.4</v>
      </c>
      <c r="AL13" s="38">
        <f t="shared" si="79"/>
        <v>-15142.4</v>
      </c>
      <c r="AM13" s="38">
        <f t="shared" si="79"/>
        <v>-15142.4</v>
      </c>
      <c r="AN13" s="38">
        <f t="shared" si="79"/>
        <v>-15142.4</v>
      </c>
      <c r="AO13" s="38">
        <f t="shared" si="79"/>
        <v>-15142.4</v>
      </c>
      <c r="AP13" s="38">
        <f t="shared" si="79"/>
        <v>-15142.4</v>
      </c>
      <c r="AQ13" s="38">
        <f t="shared" si="79"/>
        <v>-15142.4</v>
      </c>
      <c r="AR13" s="89">
        <f t="shared" si="8"/>
        <v>-181708.79999999996</v>
      </c>
      <c r="AS13" s="38">
        <f t="shared" si="9"/>
        <v>-15748.096</v>
      </c>
      <c r="AT13" s="38">
        <f t="shared" ref="AT13:BD13" si="80">AS13</f>
        <v>-15748.096</v>
      </c>
      <c r="AU13" s="38">
        <f t="shared" si="80"/>
        <v>-15748.096</v>
      </c>
      <c r="AV13" s="38">
        <f t="shared" si="80"/>
        <v>-15748.096</v>
      </c>
      <c r="AW13" s="38">
        <f t="shared" si="80"/>
        <v>-15748.096</v>
      </c>
      <c r="AX13" s="38">
        <f t="shared" si="80"/>
        <v>-15748.096</v>
      </c>
      <c r="AY13" s="38">
        <f t="shared" si="80"/>
        <v>-15748.096</v>
      </c>
      <c r="AZ13" s="38">
        <f t="shared" si="80"/>
        <v>-15748.096</v>
      </c>
      <c r="BA13" s="38">
        <f t="shared" si="80"/>
        <v>-15748.096</v>
      </c>
      <c r="BB13" s="38">
        <f t="shared" si="80"/>
        <v>-15748.096</v>
      </c>
      <c r="BC13" s="38">
        <f t="shared" si="80"/>
        <v>-15748.096</v>
      </c>
      <c r="BD13" s="38">
        <f t="shared" si="80"/>
        <v>-15748.096</v>
      </c>
      <c r="BE13" s="89">
        <f t="shared" si="11"/>
        <v>-188977.15199999997</v>
      </c>
      <c r="BF13" s="38">
        <f t="shared" si="12"/>
        <v>-16378.019840000001</v>
      </c>
      <c r="BG13" s="38">
        <f t="shared" ref="BG13:BQ13" si="81">BF13</f>
        <v>-16378.019840000001</v>
      </c>
      <c r="BH13" s="38">
        <f t="shared" si="81"/>
        <v>-16378.019840000001</v>
      </c>
      <c r="BI13" s="38">
        <f t="shared" si="81"/>
        <v>-16378.019840000001</v>
      </c>
      <c r="BJ13" s="38">
        <f t="shared" si="81"/>
        <v>-16378.019840000001</v>
      </c>
      <c r="BK13" s="38">
        <f t="shared" si="81"/>
        <v>-16378.019840000001</v>
      </c>
      <c r="BL13" s="38">
        <f t="shared" si="81"/>
        <v>-16378.019840000001</v>
      </c>
      <c r="BM13" s="38">
        <f t="shared" si="81"/>
        <v>-16378.019840000001</v>
      </c>
      <c r="BN13" s="38">
        <f t="shared" si="81"/>
        <v>-16378.019840000001</v>
      </c>
      <c r="BO13" s="38">
        <f t="shared" si="81"/>
        <v>-16378.019840000001</v>
      </c>
      <c r="BP13" s="38">
        <f t="shared" si="81"/>
        <v>-16378.019840000001</v>
      </c>
      <c r="BQ13" s="38">
        <f t="shared" si="81"/>
        <v>-16378.019840000001</v>
      </c>
      <c r="BR13" s="89">
        <f t="shared" si="14"/>
        <v>-196536.23807999995</v>
      </c>
      <c r="BS13" s="38">
        <f t="shared" si="15"/>
        <v>-17033.1406336</v>
      </c>
      <c r="BT13" s="38">
        <f t="shared" ref="BT13:CD13" si="82">BS13</f>
        <v>-17033.1406336</v>
      </c>
      <c r="BU13" s="38">
        <f t="shared" si="82"/>
        <v>-17033.1406336</v>
      </c>
      <c r="BV13" s="38">
        <f t="shared" si="82"/>
        <v>-17033.1406336</v>
      </c>
      <c r="BW13" s="38">
        <f t="shared" si="82"/>
        <v>-17033.1406336</v>
      </c>
      <c r="BX13" s="38">
        <f t="shared" si="82"/>
        <v>-17033.1406336</v>
      </c>
      <c r="BY13" s="38">
        <f t="shared" si="82"/>
        <v>-17033.1406336</v>
      </c>
      <c r="BZ13" s="38">
        <f t="shared" si="82"/>
        <v>-17033.1406336</v>
      </c>
      <c r="CA13" s="38">
        <f t="shared" si="82"/>
        <v>-17033.1406336</v>
      </c>
      <c r="CB13" s="38">
        <f t="shared" si="82"/>
        <v>-17033.1406336</v>
      </c>
      <c r="CC13" s="38">
        <f t="shared" si="82"/>
        <v>-17033.1406336</v>
      </c>
      <c r="CD13" s="38">
        <f t="shared" si="82"/>
        <v>-17033.1406336</v>
      </c>
      <c r="CE13" s="89">
        <f t="shared" si="17"/>
        <v>-204397.68760320006</v>
      </c>
      <c r="CF13" s="38">
        <f t="shared" si="18"/>
        <v>-17714.466258944001</v>
      </c>
      <c r="CG13" s="38">
        <f t="shared" ref="CG13:CQ13" si="83">CF13</f>
        <v>-17714.466258944001</v>
      </c>
      <c r="CH13" s="38">
        <f t="shared" si="83"/>
        <v>-17714.466258944001</v>
      </c>
      <c r="CI13" s="38">
        <f t="shared" si="83"/>
        <v>-17714.466258944001</v>
      </c>
      <c r="CJ13" s="38">
        <f t="shared" si="83"/>
        <v>-17714.466258944001</v>
      </c>
      <c r="CK13" s="38">
        <f t="shared" si="83"/>
        <v>-17714.466258944001</v>
      </c>
      <c r="CL13" s="38">
        <f t="shared" si="83"/>
        <v>-17714.466258944001</v>
      </c>
      <c r="CM13" s="38">
        <f t="shared" si="83"/>
        <v>-17714.466258944001</v>
      </c>
      <c r="CN13" s="38">
        <f t="shared" si="83"/>
        <v>-17714.466258944001</v>
      </c>
      <c r="CO13" s="38">
        <f t="shared" si="83"/>
        <v>-17714.466258944001</v>
      </c>
      <c r="CP13" s="38">
        <f t="shared" si="83"/>
        <v>-17714.466258944001</v>
      </c>
      <c r="CQ13" s="38">
        <f t="shared" si="83"/>
        <v>-17714.466258944001</v>
      </c>
      <c r="CR13" s="89">
        <f t="shared" si="20"/>
        <v>-212573.59510732806</v>
      </c>
    </row>
    <row r="14" spans="1:96" ht="14.25" customHeight="1" x14ac:dyDescent="0.4">
      <c r="A14" s="71"/>
      <c r="B14" s="426" t="s">
        <v>587</v>
      </c>
      <c r="C14" t="s">
        <v>528</v>
      </c>
      <c r="D14" s="89">
        <f t="shared" si="0"/>
        <v>-2764339.8819577522</v>
      </c>
      <c r="F14" s="87">
        <v>-29166</v>
      </c>
      <c r="G14" s="87">
        <f t="shared" ref="G14:Q14" si="84">F14</f>
        <v>-29166</v>
      </c>
      <c r="H14" s="87">
        <f t="shared" si="84"/>
        <v>-29166</v>
      </c>
      <c r="I14" s="87">
        <f t="shared" si="84"/>
        <v>-29166</v>
      </c>
      <c r="J14" s="87">
        <f t="shared" si="84"/>
        <v>-29166</v>
      </c>
      <c r="K14" s="87">
        <f t="shared" si="84"/>
        <v>-29166</v>
      </c>
      <c r="L14" s="87">
        <f t="shared" si="84"/>
        <v>-29166</v>
      </c>
      <c r="M14" s="87">
        <f t="shared" si="84"/>
        <v>-29166</v>
      </c>
      <c r="N14" s="87">
        <f t="shared" si="84"/>
        <v>-29166</v>
      </c>
      <c r="O14" s="87">
        <f t="shared" si="84"/>
        <v>-29166</v>
      </c>
      <c r="P14" s="87">
        <f t="shared" si="84"/>
        <v>-29166</v>
      </c>
      <c r="Q14" s="87">
        <f t="shared" si="84"/>
        <v>-29166</v>
      </c>
      <c r="R14" s="89">
        <f t="shared" si="2"/>
        <v>-349992</v>
      </c>
      <c r="S14" s="38">
        <f t="shared" si="3"/>
        <v>-30332.639999999999</v>
      </c>
      <c r="T14" s="38">
        <f t="shared" ref="T14:AD14" si="85">S14</f>
        <v>-30332.639999999999</v>
      </c>
      <c r="U14" s="38">
        <f t="shared" si="85"/>
        <v>-30332.639999999999</v>
      </c>
      <c r="V14" s="38">
        <f t="shared" si="85"/>
        <v>-30332.639999999999</v>
      </c>
      <c r="W14" s="38">
        <f t="shared" si="85"/>
        <v>-30332.639999999999</v>
      </c>
      <c r="X14" s="38">
        <f t="shared" si="85"/>
        <v>-30332.639999999999</v>
      </c>
      <c r="Y14" s="38">
        <f t="shared" si="85"/>
        <v>-30332.639999999999</v>
      </c>
      <c r="Z14" s="38">
        <f t="shared" si="85"/>
        <v>-30332.639999999999</v>
      </c>
      <c r="AA14" s="38">
        <f t="shared" si="85"/>
        <v>-30332.639999999999</v>
      </c>
      <c r="AB14" s="38">
        <f t="shared" si="85"/>
        <v>-30332.639999999999</v>
      </c>
      <c r="AC14" s="38">
        <f t="shared" si="85"/>
        <v>-30332.639999999999</v>
      </c>
      <c r="AD14" s="38">
        <f t="shared" si="85"/>
        <v>-30332.639999999999</v>
      </c>
      <c r="AE14" s="89">
        <f t="shared" si="5"/>
        <v>-363991.68000000011</v>
      </c>
      <c r="AF14" s="38">
        <f t="shared" si="6"/>
        <v>-31545.945599999999</v>
      </c>
      <c r="AG14" s="38">
        <f t="shared" ref="AG14:AQ14" si="86">AF14</f>
        <v>-31545.945599999999</v>
      </c>
      <c r="AH14" s="38">
        <f t="shared" si="86"/>
        <v>-31545.945599999999</v>
      </c>
      <c r="AI14" s="38">
        <f t="shared" si="86"/>
        <v>-31545.945599999999</v>
      </c>
      <c r="AJ14" s="38">
        <f t="shared" si="86"/>
        <v>-31545.945599999999</v>
      </c>
      <c r="AK14" s="38">
        <f t="shared" si="86"/>
        <v>-31545.945599999999</v>
      </c>
      <c r="AL14" s="38">
        <f t="shared" si="86"/>
        <v>-31545.945599999999</v>
      </c>
      <c r="AM14" s="38">
        <f t="shared" si="86"/>
        <v>-31545.945599999999</v>
      </c>
      <c r="AN14" s="38">
        <f t="shared" si="86"/>
        <v>-31545.945599999999</v>
      </c>
      <c r="AO14" s="38">
        <f t="shared" si="86"/>
        <v>-31545.945599999999</v>
      </c>
      <c r="AP14" s="38">
        <f t="shared" si="86"/>
        <v>-31545.945599999999</v>
      </c>
      <c r="AQ14" s="38">
        <f t="shared" si="86"/>
        <v>-31545.945599999999</v>
      </c>
      <c r="AR14" s="89">
        <f t="shared" si="8"/>
        <v>-378551.34719999996</v>
      </c>
      <c r="AS14" s="38">
        <f t="shared" si="9"/>
        <v>-32807.783424000001</v>
      </c>
      <c r="AT14" s="38">
        <f t="shared" ref="AT14:BD14" si="87">AS14</f>
        <v>-32807.783424000001</v>
      </c>
      <c r="AU14" s="38">
        <f t="shared" si="87"/>
        <v>-32807.783424000001</v>
      </c>
      <c r="AV14" s="38">
        <f t="shared" si="87"/>
        <v>-32807.783424000001</v>
      </c>
      <c r="AW14" s="38">
        <f t="shared" si="87"/>
        <v>-32807.783424000001</v>
      </c>
      <c r="AX14" s="38">
        <f t="shared" si="87"/>
        <v>-32807.783424000001</v>
      </c>
      <c r="AY14" s="38">
        <f t="shared" si="87"/>
        <v>-32807.783424000001</v>
      </c>
      <c r="AZ14" s="38">
        <f t="shared" si="87"/>
        <v>-32807.783424000001</v>
      </c>
      <c r="BA14" s="38">
        <f t="shared" si="87"/>
        <v>-32807.783424000001</v>
      </c>
      <c r="BB14" s="38">
        <f t="shared" si="87"/>
        <v>-32807.783424000001</v>
      </c>
      <c r="BC14" s="38">
        <f t="shared" si="87"/>
        <v>-32807.783424000001</v>
      </c>
      <c r="BD14" s="38">
        <f t="shared" si="87"/>
        <v>-32807.783424000001</v>
      </c>
      <c r="BE14" s="89">
        <f t="shared" si="11"/>
        <v>-393693.4010880001</v>
      </c>
      <c r="BF14" s="38">
        <f t="shared" si="12"/>
        <v>-34120.094760960004</v>
      </c>
      <c r="BG14" s="38">
        <f t="shared" ref="BG14:BQ14" si="88">BF14</f>
        <v>-34120.094760960004</v>
      </c>
      <c r="BH14" s="38">
        <f t="shared" si="88"/>
        <v>-34120.094760960004</v>
      </c>
      <c r="BI14" s="38">
        <f t="shared" si="88"/>
        <v>-34120.094760960004</v>
      </c>
      <c r="BJ14" s="38">
        <f t="shared" si="88"/>
        <v>-34120.094760960004</v>
      </c>
      <c r="BK14" s="38">
        <f t="shared" si="88"/>
        <v>-34120.094760960004</v>
      </c>
      <c r="BL14" s="38">
        <f t="shared" si="88"/>
        <v>-34120.094760960004</v>
      </c>
      <c r="BM14" s="38">
        <f t="shared" si="88"/>
        <v>-34120.094760960004</v>
      </c>
      <c r="BN14" s="38">
        <f t="shared" si="88"/>
        <v>-34120.094760960004</v>
      </c>
      <c r="BO14" s="38">
        <f t="shared" si="88"/>
        <v>-34120.094760960004</v>
      </c>
      <c r="BP14" s="38">
        <f t="shared" si="88"/>
        <v>-34120.094760960004</v>
      </c>
      <c r="BQ14" s="38">
        <f t="shared" si="88"/>
        <v>-34120.094760960004</v>
      </c>
      <c r="BR14" s="89">
        <f t="shared" si="14"/>
        <v>-409441.13713152014</v>
      </c>
      <c r="BS14" s="38">
        <f t="shared" si="15"/>
        <v>-35484.898551398408</v>
      </c>
      <c r="BT14" s="38">
        <f t="shared" ref="BT14:CD14" si="89">BS14</f>
        <v>-35484.898551398408</v>
      </c>
      <c r="BU14" s="38">
        <f t="shared" si="89"/>
        <v>-35484.898551398408</v>
      </c>
      <c r="BV14" s="38">
        <f t="shared" si="89"/>
        <v>-35484.898551398408</v>
      </c>
      <c r="BW14" s="38">
        <f t="shared" si="89"/>
        <v>-35484.898551398408</v>
      </c>
      <c r="BX14" s="38">
        <f t="shared" si="89"/>
        <v>-35484.898551398408</v>
      </c>
      <c r="BY14" s="38">
        <f t="shared" si="89"/>
        <v>-35484.898551398408</v>
      </c>
      <c r="BZ14" s="38">
        <f t="shared" si="89"/>
        <v>-35484.898551398408</v>
      </c>
      <c r="CA14" s="38">
        <f t="shared" si="89"/>
        <v>-35484.898551398408</v>
      </c>
      <c r="CB14" s="38">
        <f t="shared" si="89"/>
        <v>-35484.898551398408</v>
      </c>
      <c r="CC14" s="38">
        <f t="shared" si="89"/>
        <v>-35484.898551398408</v>
      </c>
      <c r="CD14" s="38">
        <f t="shared" si="89"/>
        <v>-35484.898551398408</v>
      </c>
      <c r="CE14" s="89">
        <f t="shared" si="17"/>
        <v>-425818.78261678101</v>
      </c>
      <c r="CF14" s="38">
        <f t="shared" si="18"/>
        <v>-36904.294493454348</v>
      </c>
      <c r="CG14" s="38">
        <f t="shared" ref="CG14:CQ14" si="90">CF14</f>
        <v>-36904.294493454348</v>
      </c>
      <c r="CH14" s="38">
        <f t="shared" si="90"/>
        <v>-36904.294493454348</v>
      </c>
      <c r="CI14" s="38">
        <f t="shared" si="90"/>
        <v>-36904.294493454348</v>
      </c>
      <c r="CJ14" s="38">
        <f t="shared" si="90"/>
        <v>-36904.294493454348</v>
      </c>
      <c r="CK14" s="38">
        <f t="shared" si="90"/>
        <v>-36904.294493454348</v>
      </c>
      <c r="CL14" s="38">
        <f t="shared" si="90"/>
        <v>-36904.294493454348</v>
      </c>
      <c r="CM14" s="38">
        <f t="shared" si="90"/>
        <v>-36904.294493454348</v>
      </c>
      <c r="CN14" s="38">
        <f t="shared" si="90"/>
        <v>-36904.294493454348</v>
      </c>
      <c r="CO14" s="38">
        <f t="shared" si="90"/>
        <v>-36904.294493454348</v>
      </c>
      <c r="CP14" s="38">
        <f t="shared" si="90"/>
        <v>-36904.294493454348</v>
      </c>
      <c r="CQ14" s="38">
        <f t="shared" si="90"/>
        <v>-36904.294493454348</v>
      </c>
      <c r="CR14" s="89">
        <f t="shared" si="20"/>
        <v>-442851.53392145206</v>
      </c>
    </row>
    <row r="15" spans="1:96" ht="14.25" customHeight="1" x14ac:dyDescent="0.4">
      <c r="A15" s="71"/>
      <c r="B15" t="s">
        <v>529</v>
      </c>
      <c r="D15" s="113">
        <f t="shared" si="0"/>
        <v>-473897.66885376035</v>
      </c>
      <c r="E15" s="109"/>
      <c r="F15" s="111">
        <v>-5000</v>
      </c>
      <c r="G15" s="111">
        <f t="shared" ref="G15:Q15" si="91">F15</f>
        <v>-5000</v>
      </c>
      <c r="H15" s="111">
        <f t="shared" si="91"/>
        <v>-5000</v>
      </c>
      <c r="I15" s="111">
        <f t="shared" si="91"/>
        <v>-5000</v>
      </c>
      <c r="J15" s="111">
        <f t="shared" si="91"/>
        <v>-5000</v>
      </c>
      <c r="K15" s="111">
        <f t="shared" si="91"/>
        <v>-5000</v>
      </c>
      <c r="L15" s="111">
        <f t="shared" si="91"/>
        <v>-5000</v>
      </c>
      <c r="M15" s="111">
        <f t="shared" si="91"/>
        <v>-5000</v>
      </c>
      <c r="N15" s="111">
        <f t="shared" si="91"/>
        <v>-5000</v>
      </c>
      <c r="O15" s="111">
        <f t="shared" si="91"/>
        <v>-5000</v>
      </c>
      <c r="P15" s="111">
        <f t="shared" si="91"/>
        <v>-5000</v>
      </c>
      <c r="Q15" s="111">
        <f t="shared" si="91"/>
        <v>-5000</v>
      </c>
      <c r="R15" s="113">
        <f t="shared" si="2"/>
        <v>-60000</v>
      </c>
      <c r="S15" s="112">
        <f t="shared" si="3"/>
        <v>-5200</v>
      </c>
      <c r="T15" s="112">
        <f t="shared" ref="T15:AD15" si="92">S15</f>
        <v>-5200</v>
      </c>
      <c r="U15" s="112">
        <f t="shared" si="92"/>
        <v>-5200</v>
      </c>
      <c r="V15" s="112">
        <f t="shared" si="92"/>
        <v>-5200</v>
      </c>
      <c r="W15" s="112">
        <f t="shared" si="92"/>
        <v>-5200</v>
      </c>
      <c r="X15" s="112">
        <f t="shared" si="92"/>
        <v>-5200</v>
      </c>
      <c r="Y15" s="112">
        <f t="shared" si="92"/>
        <v>-5200</v>
      </c>
      <c r="Z15" s="112">
        <f t="shared" si="92"/>
        <v>-5200</v>
      </c>
      <c r="AA15" s="112">
        <f t="shared" si="92"/>
        <v>-5200</v>
      </c>
      <c r="AB15" s="112">
        <f t="shared" si="92"/>
        <v>-5200</v>
      </c>
      <c r="AC15" s="112">
        <f t="shared" si="92"/>
        <v>-5200</v>
      </c>
      <c r="AD15" s="112">
        <f t="shared" si="92"/>
        <v>-5200</v>
      </c>
      <c r="AE15" s="113">
        <f t="shared" si="5"/>
        <v>-62400</v>
      </c>
      <c r="AF15" s="112">
        <f t="shared" si="6"/>
        <v>-5408</v>
      </c>
      <c r="AG15" s="112">
        <f t="shared" ref="AG15:AQ15" si="93">AF15</f>
        <v>-5408</v>
      </c>
      <c r="AH15" s="112">
        <f t="shared" si="93"/>
        <v>-5408</v>
      </c>
      <c r="AI15" s="112">
        <f t="shared" si="93"/>
        <v>-5408</v>
      </c>
      <c r="AJ15" s="112">
        <f t="shared" si="93"/>
        <v>-5408</v>
      </c>
      <c r="AK15" s="112">
        <f t="shared" si="93"/>
        <v>-5408</v>
      </c>
      <c r="AL15" s="112">
        <f t="shared" si="93"/>
        <v>-5408</v>
      </c>
      <c r="AM15" s="112">
        <f t="shared" si="93"/>
        <v>-5408</v>
      </c>
      <c r="AN15" s="112">
        <f t="shared" si="93"/>
        <v>-5408</v>
      </c>
      <c r="AO15" s="112">
        <f t="shared" si="93"/>
        <v>-5408</v>
      </c>
      <c r="AP15" s="112">
        <f t="shared" si="93"/>
        <v>-5408</v>
      </c>
      <c r="AQ15" s="112">
        <f t="shared" si="93"/>
        <v>-5408</v>
      </c>
      <c r="AR15" s="113">
        <f t="shared" si="8"/>
        <v>-64896</v>
      </c>
      <c r="AS15" s="112">
        <f t="shared" si="9"/>
        <v>-5624.3200000000006</v>
      </c>
      <c r="AT15" s="112">
        <f t="shared" ref="AT15:BD15" si="94">AS15</f>
        <v>-5624.3200000000006</v>
      </c>
      <c r="AU15" s="112">
        <f t="shared" si="94"/>
        <v>-5624.3200000000006</v>
      </c>
      <c r="AV15" s="112">
        <f t="shared" si="94"/>
        <v>-5624.3200000000006</v>
      </c>
      <c r="AW15" s="112">
        <f t="shared" si="94"/>
        <v>-5624.3200000000006</v>
      </c>
      <c r="AX15" s="112">
        <f t="shared" si="94"/>
        <v>-5624.3200000000006</v>
      </c>
      <c r="AY15" s="112">
        <f t="shared" si="94"/>
        <v>-5624.3200000000006</v>
      </c>
      <c r="AZ15" s="112">
        <f t="shared" si="94"/>
        <v>-5624.3200000000006</v>
      </c>
      <c r="BA15" s="112">
        <f t="shared" si="94"/>
        <v>-5624.3200000000006</v>
      </c>
      <c r="BB15" s="112">
        <f t="shared" si="94"/>
        <v>-5624.3200000000006</v>
      </c>
      <c r="BC15" s="112">
        <f t="shared" si="94"/>
        <v>-5624.3200000000006</v>
      </c>
      <c r="BD15" s="112">
        <f t="shared" si="94"/>
        <v>-5624.3200000000006</v>
      </c>
      <c r="BE15" s="113">
        <f t="shared" si="11"/>
        <v>-67491.840000000011</v>
      </c>
      <c r="BF15" s="112">
        <f t="shared" si="12"/>
        <v>-5849.2928000000011</v>
      </c>
      <c r="BG15" s="112">
        <f t="shared" ref="BG15:BQ15" si="95">BF15</f>
        <v>-5849.2928000000011</v>
      </c>
      <c r="BH15" s="112">
        <f t="shared" si="95"/>
        <v>-5849.2928000000011</v>
      </c>
      <c r="BI15" s="112">
        <f t="shared" si="95"/>
        <v>-5849.2928000000011</v>
      </c>
      <c r="BJ15" s="112">
        <f t="shared" si="95"/>
        <v>-5849.2928000000011</v>
      </c>
      <c r="BK15" s="112">
        <f t="shared" si="95"/>
        <v>-5849.2928000000011</v>
      </c>
      <c r="BL15" s="112">
        <f t="shared" si="95"/>
        <v>-5849.2928000000011</v>
      </c>
      <c r="BM15" s="112">
        <f t="shared" si="95"/>
        <v>-5849.2928000000011</v>
      </c>
      <c r="BN15" s="112">
        <f t="shared" si="95"/>
        <v>-5849.2928000000011</v>
      </c>
      <c r="BO15" s="112">
        <f t="shared" si="95"/>
        <v>-5849.2928000000011</v>
      </c>
      <c r="BP15" s="112">
        <f t="shared" si="95"/>
        <v>-5849.2928000000011</v>
      </c>
      <c r="BQ15" s="112">
        <f t="shared" si="95"/>
        <v>-5849.2928000000011</v>
      </c>
      <c r="BR15" s="113">
        <f t="shared" si="14"/>
        <v>-70191.51360000002</v>
      </c>
      <c r="BS15" s="112">
        <f t="shared" si="15"/>
        <v>-6083.2645120000016</v>
      </c>
      <c r="BT15" s="112">
        <f t="shared" ref="BT15:CD15" si="96">BS15</f>
        <v>-6083.2645120000016</v>
      </c>
      <c r="BU15" s="112">
        <f t="shared" si="96"/>
        <v>-6083.2645120000016</v>
      </c>
      <c r="BV15" s="112">
        <f t="shared" si="96"/>
        <v>-6083.2645120000016</v>
      </c>
      <c r="BW15" s="112">
        <f t="shared" si="96"/>
        <v>-6083.2645120000016</v>
      </c>
      <c r="BX15" s="112">
        <f t="shared" si="96"/>
        <v>-6083.2645120000016</v>
      </c>
      <c r="BY15" s="112">
        <f t="shared" si="96"/>
        <v>-6083.2645120000016</v>
      </c>
      <c r="BZ15" s="112">
        <f t="shared" si="96"/>
        <v>-6083.2645120000016</v>
      </c>
      <c r="CA15" s="112">
        <f t="shared" si="96"/>
        <v>-6083.2645120000016</v>
      </c>
      <c r="CB15" s="112">
        <f t="shared" si="96"/>
        <v>-6083.2645120000016</v>
      </c>
      <c r="CC15" s="112">
        <f t="shared" si="96"/>
        <v>-6083.2645120000016</v>
      </c>
      <c r="CD15" s="112">
        <f t="shared" si="96"/>
        <v>-6083.2645120000016</v>
      </c>
      <c r="CE15" s="113">
        <f t="shared" si="17"/>
        <v>-72999.174144000019</v>
      </c>
      <c r="CF15" s="112">
        <f t="shared" si="18"/>
        <v>-6326.5950924800018</v>
      </c>
      <c r="CG15" s="112">
        <f t="shared" ref="CG15:CQ15" si="97">CF15</f>
        <v>-6326.5950924800018</v>
      </c>
      <c r="CH15" s="112">
        <f t="shared" si="97"/>
        <v>-6326.5950924800018</v>
      </c>
      <c r="CI15" s="112">
        <f t="shared" si="97"/>
        <v>-6326.5950924800018</v>
      </c>
      <c r="CJ15" s="112">
        <f t="shared" si="97"/>
        <v>-6326.5950924800018</v>
      </c>
      <c r="CK15" s="112">
        <f t="shared" si="97"/>
        <v>-6326.5950924800018</v>
      </c>
      <c r="CL15" s="112">
        <f t="shared" si="97"/>
        <v>-6326.5950924800018</v>
      </c>
      <c r="CM15" s="112">
        <f t="shared" si="97"/>
        <v>-6326.5950924800018</v>
      </c>
      <c r="CN15" s="112">
        <f t="shared" si="97"/>
        <v>-6326.5950924800018</v>
      </c>
      <c r="CO15" s="112">
        <f t="shared" si="97"/>
        <v>-6326.5950924800018</v>
      </c>
      <c r="CP15" s="112">
        <f t="shared" si="97"/>
        <v>-6326.5950924800018</v>
      </c>
      <c r="CQ15" s="112">
        <f t="shared" si="97"/>
        <v>-6326.5950924800018</v>
      </c>
      <c r="CR15" s="113">
        <f t="shared" si="20"/>
        <v>-75919.141109760007</v>
      </c>
    </row>
    <row r="16" spans="1:96" ht="14.25" customHeight="1" x14ac:dyDescent="0.4">
      <c r="A16" s="118"/>
      <c r="B16" t="s">
        <v>530</v>
      </c>
      <c r="C16" s="39"/>
      <c r="D16" s="89">
        <f t="shared" si="0"/>
        <v>-14548563.654276676</v>
      </c>
      <c r="E16" s="39"/>
      <c r="F16" s="39">
        <f t="shared" ref="F16:Q16" si="98">SUM(F4:F15)</f>
        <v>-153499</v>
      </c>
      <c r="G16" s="39">
        <f t="shared" si="98"/>
        <v>-153499</v>
      </c>
      <c r="H16" s="39">
        <f t="shared" si="98"/>
        <v>-153499</v>
      </c>
      <c r="I16" s="39">
        <f t="shared" si="98"/>
        <v>-153499</v>
      </c>
      <c r="J16" s="39">
        <f t="shared" si="98"/>
        <v>-153499</v>
      </c>
      <c r="K16" s="39">
        <f t="shared" si="98"/>
        <v>-153499</v>
      </c>
      <c r="L16" s="39">
        <f t="shared" si="98"/>
        <v>-153499</v>
      </c>
      <c r="M16" s="39">
        <f t="shared" si="98"/>
        <v>-153499</v>
      </c>
      <c r="N16" s="39">
        <f t="shared" si="98"/>
        <v>-153499</v>
      </c>
      <c r="O16" s="39">
        <f t="shared" si="98"/>
        <v>-153499</v>
      </c>
      <c r="P16" s="39">
        <f t="shared" si="98"/>
        <v>-153499</v>
      </c>
      <c r="Q16" s="39">
        <f t="shared" si="98"/>
        <v>-153499</v>
      </c>
      <c r="R16" s="49">
        <f t="shared" si="2"/>
        <v>-1841988</v>
      </c>
      <c r="S16" s="39">
        <f t="shared" si="3"/>
        <v>-159638.96</v>
      </c>
      <c r="T16" s="39">
        <f t="shared" ref="T16:AD16" si="99">S16</f>
        <v>-159638.96</v>
      </c>
      <c r="U16" s="39">
        <f t="shared" si="99"/>
        <v>-159638.96</v>
      </c>
      <c r="V16" s="39">
        <f t="shared" si="99"/>
        <v>-159638.96</v>
      </c>
      <c r="W16" s="39">
        <f t="shared" si="99"/>
        <v>-159638.96</v>
      </c>
      <c r="X16" s="39">
        <f t="shared" si="99"/>
        <v>-159638.96</v>
      </c>
      <c r="Y16" s="39">
        <f t="shared" si="99"/>
        <v>-159638.96</v>
      </c>
      <c r="Z16" s="39">
        <f t="shared" si="99"/>
        <v>-159638.96</v>
      </c>
      <c r="AA16" s="39">
        <f t="shared" si="99"/>
        <v>-159638.96</v>
      </c>
      <c r="AB16" s="39">
        <f t="shared" si="99"/>
        <v>-159638.96</v>
      </c>
      <c r="AC16" s="39">
        <f t="shared" si="99"/>
        <v>-159638.96</v>
      </c>
      <c r="AD16" s="39">
        <f t="shared" si="99"/>
        <v>-159638.96</v>
      </c>
      <c r="AE16" s="49">
        <f t="shared" si="5"/>
        <v>-1915667.5199999998</v>
      </c>
      <c r="AF16" s="39">
        <f t="shared" si="6"/>
        <v>-166024.5184</v>
      </c>
      <c r="AG16" s="39">
        <f t="shared" ref="AG16:AQ16" si="100">AF16</f>
        <v>-166024.5184</v>
      </c>
      <c r="AH16" s="39">
        <f t="shared" si="100"/>
        <v>-166024.5184</v>
      </c>
      <c r="AI16" s="39">
        <f t="shared" si="100"/>
        <v>-166024.5184</v>
      </c>
      <c r="AJ16" s="39">
        <f t="shared" si="100"/>
        <v>-166024.5184</v>
      </c>
      <c r="AK16" s="39">
        <f t="shared" si="100"/>
        <v>-166024.5184</v>
      </c>
      <c r="AL16" s="39">
        <f t="shared" si="100"/>
        <v>-166024.5184</v>
      </c>
      <c r="AM16" s="39">
        <f t="shared" si="100"/>
        <v>-166024.5184</v>
      </c>
      <c r="AN16" s="39">
        <f t="shared" si="100"/>
        <v>-166024.5184</v>
      </c>
      <c r="AO16" s="39">
        <f t="shared" si="100"/>
        <v>-166024.5184</v>
      </c>
      <c r="AP16" s="39">
        <f t="shared" si="100"/>
        <v>-166024.5184</v>
      </c>
      <c r="AQ16" s="39">
        <f t="shared" si="100"/>
        <v>-166024.5184</v>
      </c>
      <c r="AR16" s="49">
        <f t="shared" si="8"/>
        <v>-1992294.2207999995</v>
      </c>
      <c r="AS16" s="39">
        <f t="shared" si="9"/>
        <v>-172665.499136</v>
      </c>
      <c r="AT16" s="39">
        <f t="shared" ref="AT16:BD16" si="101">AS16</f>
        <v>-172665.499136</v>
      </c>
      <c r="AU16" s="39">
        <f t="shared" si="101"/>
        <v>-172665.499136</v>
      </c>
      <c r="AV16" s="39">
        <f t="shared" si="101"/>
        <v>-172665.499136</v>
      </c>
      <c r="AW16" s="39">
        <f t="shared" si="101"/>
        <v>-172665.499136</v>
      </c>
      <c r="AX16" s="39">
        <f t="shared" si="101"/>
        <v>-172665.499136</v>
      </c>
      <c r="AY16" s="39">
        <f t="shared" si="101"/>
        <v>-172665.499136</v>
      </c>
      <c r="AZ16" s="39">
        <f t="shared" si="101"/>
        <v>-172665.499136</v>
      </c>
      <c r="BA16" s="39">
        <f t="shared" si="101"/>
        <v>-172665.499136</v>
      </c>
      <c r="BB16" s="39">
        <f t="shared" si="101"/>
        <v>-172665.499136</v>
      </c>
      <c r="BC16" s="39">
        <f t="shared" si="101"/>
        <v>-172665.499136</v>
      </c>
      <c r="BD16" s="39">
        <f t="shared" si="101"/>
        <v>-172665.499136</v>
      </c>
      <c r="BE16" s="49">
        <f t="shared" si="11"/>
        <v>-2071985.9896319995</v>
      </c>
      <c r="BF16" s="39">
        <f t="shared" si="12"/>
        <v>-179572.11910144001</v>
      </c>
      <c r="BG16" s="39">
        <f t="shared" ref="BG16:BQ16" si="102">BF16</f>
        <v>-179572.11910144001</v>
      </c>
      <c r="BH16" s="39">
        <f t="shared" si="102"/>
        <v>-179572.11910144001</v>
      </c>
      <c r="BI16" s="39">
        <f t="shared" si="102"/>
        <v>-179572.11910144001</v>
      </c>
      <c r="BJ16" s="39">
        <f t="shared" si="102"/>
        <v>-179572.11910144001</v>
      </c>
      <c r="BK16" s="39">
        <f t="shared" si="102"/>
        <v>-179572.11910144001</v>
      </c>
      <c r="BL16" s="39">
        <f t="shared" si="102"/>
        <v>-179572.11910144001</v>
      </c>
      <c r="BM16" s="39">
        <f t="shared" si="102"/>
        <v>-179572.11910144001</v>
      </c>
      <c r="BN16" s="39">
        <f t="shared" si="102"/>
        <v>-179572.11910144001</v>
      </c>
      <c r="BO16" s="39">
        <f t="shared" si="102"/>
        <v>-179572.11910144001</v>
      </c>
      <c r="BP16" s="39">
        <f t="shared" si="102"/>
        <v>-179572.11910144001</v>
      </c>
      <c r="BQ16" s="39">
        <f t="shared" si="102"/>
        <v>-179572.11910144001</v>
      </c>
      <c r="BR16" s="49">
        <f t="shared" si="14"/>
        <v>-2154865.4292172804</v>
      </c>
      <c r="BS16" s="39">
        <f t="shared" si="15"/>
        <v>-186755.00386549762</v>
      </c>
      <c r="BT16" s="39">
        <f t="shared" ref="BT16:CD16" si="103">BS16</f>
        <v>-186755.00386549762</v>
      </c>
      <c r="BU16" s="39">
        <f t="shared" si="103"/>
        <v>-186755.00386549762</v>
      </c>
      <c r="BV16" s="39">
        <f t="shared" si="103"/>
        <v>-186755.00386549762</v>
      </c>
      <c r="BW16" s="39">
        <f t="shared" si="103"/>
        <v>-186755.00386549762</v>
      </c>
      <c r="BX16" s="39">
        <f t="shared" si="103"/>
        <v>-186755.00386549762</v>
      </c>
      <c r="BY16" s="39">
        <f t="shared" si="103"/>
        <v>-186755.00386549762</v>
      </c>
      <c r="BZ16" s="39">
        <f t="shared" si="103"/>
        <v>-186755.00386549762</v>
      </c>
      <c r="CA16" s="39">
        <f t="shared" si="103"/>
        <v>-186755.00386549762</v>
      </c>
      <c r="CB16" s="39">
        <f t="shared" si="103"/>
        <v>-186755.00386549762</v>
      </c>
      <c r="CC16" s="39">
        <f t="shared" si="103"/>
        <v>-186755.00386549762</v>
      </c>
      <c r="CD16" s="39">
        <f t="shared" si="103"/>
        <v>-186755.00386549762</v>
      </c>
      <c r="CE16" s="49">
        <f t="shared" si="17"/>
        <v>-2241060.0463859714</v>
      </c>
      <c r="CF16" s="39">
        <f t="shared" si="18"/>
        <v>-194225.20402011753</v>
      </c>
      <c r="CG16" s="39">
        <f t="shared" ref="CG16:CQ16" si="104">CF16</f>
        <v>-194225.20402011753</v>
      </c>
      <c r="CH16" s="39">
        <f t="shared" si="104"/>
        <v>-194225.20402011753</v>
      </c>
      <c r="CI16" s="39">
        <f t="shared" si="104"/>
        <v>-194225.20402011753</v>
      </c>
      <c r="CJ16" s="39">
        <f t="shared" si="104"/>
        <v>-194225.20402011753</v>
      </c>
      <c r="CK16" s="39">
        <f t="shared" si="104"/>
        <v>-194225.20402011753</v>
      </c>
      <c r="CL16" s="39">
        <f t="shared" si="104"/>
        <v>-194225.20402011753</v>
      </c>
      <c r="CM16" s="39">
        <f t="shared" si="104"/>
        <v>-194225.20402011753</v>
      </c>
      <c r="CN16" s="39">
        <f t="shared" si="104"/>
        <v>-194225.20402011753</v>
      </c>
      <c r="CO16" s="39">
        <f t="shared" si="104"/>
        <v>-194225.20402011753</v>
      </c>
      <c r="CP16" s="39">
        <f t="shared" si="104"/>
        <v>-194225.20402011753</v>
      </c>
      <c r="CQ16" s="39">
        <f t="shared" si="104"/>
        <v>-194225.20402011753</v>
      </c>
      <c r="CR16" s="49">
        <f t="shared" si="20"/>
        <v>-2330702.4482414098</v>
      </c>
    </row>
    <row r="17" spans="1:96" ht="14.25" customHeight="1" x14ac:dyDescent="0.4">
      <c r="A17" s="71"/>
      <c r="B17" t="s">
        <v>499</v>
      </c>
      <c r="D17" s="113">
        <f>D16*0.25</f>
        <v>-3637140.9135691691</v>
      </c>
      <c r="E17" s="112"/>
      <c r="F17" s="112">
        <f t="shared" ref="F17:Q17" si="105">F16*0.25</f>
        <v>-38374.75</v>
      </c>
      <c r="G17" s="112">
        <f t="shared" si="105"/>
        <v>-38374.75</v>
      </c>
      <c r="H17" s="112">
        <f t="shared" si="105"/>
        <v>-38374.75</v>
      </c>
      <c r="I17" s="112">
        <f t="shared" si="105"/>
        <v>-38374.75</v>
      </c>
      <c r="J17" s="112">
        <f t="shared" si="105"/>
        <v>-38374.75</v>
      </c>
      <c r="K17" s="112">
        <f t="shared" si="105"/>
        <v>-38374.75</v>
      </c>
      <c r="L17" s="112">
        <f t="shared" si="105"/>
        <v>-38374.75</v>
      </c>
      <c r="M17" s="112">
        <f t="shared" si="105"/>
        <v>-38374.75</v>
      </c>
      <c r="N17" s="112">
        <f t="shared" si="105"/>
        <v>-38374.75</v>
      </c>
      <c r="O17" s="112">
        <f t="shared" si="105"/>
        <v>-38374.75</v>
      </c>
      <c r="P17" s="112">
        <f t="shared" si="105"/>
        <v>-38374.75</v>
      </c>
      <c r="Q17" s="112">
        <f t="shared" si="105"/>
        <v>-38374.75</v>
      </c>
      <c r="R17" s="113">
        <f t="shared" si="2"/>
        <v>-460497</v>
      </c>
      <c r="S17" s="112">
        <f t="shared" si="3"/>
        <v>-39909.74</v>
      </c>
      <c r="T17" s="112">
        <f t="shared" ref="T17:AD17" si="106">S17</f>
        <v>-39909.74</v>
      </c>
      <c r="U17" s="112">
        <f t="shared" si="106"/>
        <v>-39909.74</v>
      </c>
      <c r="V17" s="112">
        <f t="shared" si="106"/>
        <v>-39909.74</v>
      </c>
      <c r="W17" s="112">
        <f t="shared" si="106"/>
        <v>-39909.74</v>
      </c>
      <c r="X17" s="112">
        <f t="shared" si="106"/>
        <v>-39909.74</v>
      </c>
      <c r="Y17" s="112">
        <f t="shared" si="106"/>
        <v>-39909.74</v>
      </c>
      <c r="Z17" s="112">
        <f t="shared" si="106"/>
        <v>-39909.74</v>
      </c>
      <c r="AA17" s="112">
        <f t="shared" si="106"/>
        <v>-39909.74</v>
      </c>
      <c r="AB17" s="112">
        <f t="shared" si="106"/>
        <v>-39909.74</v>
      </c>
      <c r="AC17" s="112">
        <f t="shared" si="106"/>
        <v>-39909.74</v>
      </c>
      <c r="AD17" s="112">
        <f t="shared" si="106"/>
        <v>-39909.74</v>
      </c>
      <c r="AE17" s="113">
        <f t="shared" si="5"/>
        <v>-478916.87999999995</v>
      </c>
      <c r="AF17" s="112">
        <f t="shared" si="6"/>
        <v>-41506.1296</v>
      </c>
      <c r="AG17" s="112">
        <f t="shared" ref="AG17:AQ17" si="107">AF17</f>
        <v>-41506.1296</v>
      </c>
      <c r="AH17" s="112">
        <f t="shared" si="107"/>
        <v>-41506.1296</v>
      </c>
      <c r="AI17" s="112">
        <f t="shared" si="107"/>
        <v>-41506.1296</v>
      </c>
      <c r="AJ17" s="112">
        <f t="shared" si="107"/>
        <v>-41506.1296</v>
      </c>
      <c r="AK17" s="112">
        <f t="shared" si="107"/>
        <v>-41506.1296</v>
      </c>
      <c r="AL17" s="112">
        <f t="shared" si="107"/>
        <v>-41506.1296</v>
      </c>
      <c r="AM17" s="112">
        <f t="shared" si="107"/>
        <v>-41506.1296</v>
      </c>
      <c r="AN17" s="112">
        <f t="shared" si="107"/>
        <v>-41506.1296</v>
      </c>
      <c r="AO17" s="112">
        <f t="shared" si="107"/>
        <v>-41506.1296</v>
      </c>
      <c r="AP17" s="112">
        <f t="shared" si="107"/>
        <v>-41506.1296</v>
      </c>
      <c r="AQ17" s="112">
        <f t="shared" si="107"/>
        <v>-41506.1296</v>
      </c>
      <c r="AR17" s="113">
        <f t="shared" si="8"/>
        <v>-498073.55519999989</v>
      </c>
      <c r="AS17" s="112">
        <f t="shared" si="9"/>
        <v>-43166.374784</v>
      </c>
      <c r="AT17" s="112">
        <f t="shared" ref="AT17:BD17" si="108">AS17</f>
        <v>-43166.374784</v>
      </c>
      <c r="AU17" s="112">
        <f t="shared" si="108"/>
        <v>-43166.374784</v>
      </c>
      <c r="AV17" s="112">
        <f t="shared" si="108"/>
        <v>-43166.374784</v>
      </c>
      <c r="AW17" s="112">
        <f t="shared" si="108"/>
        <v>-43166.374784</v>
      </c>
      <c r="AX17" s="112">
        <f t="shared" si="108"/>
        <v>-43166.374784</v>
      </c>
      <c r="AY17" s="112">
        <f t="shared" si="108"/>
        <v>-43166.374784</v>
      </c>
      <c r="AZ17" s="112">
        <f t="shared" si="108"/>
        <v>-43166.374784</v>
      </c>
      <c r="BA17" s="112">
        <f t="shared" si="108"/>
        <v>-43166.374784</v>
      </c>
      <c r="BB17" s="112">
        <f t="shared" si="108"/>
        <v>-43166.374784</v>
      </c>
      <c r="BC17" s="112">
        <f t="shared" si="108"/>
        <v>-43166.374784</v>
      </c>
      <c r="BD17" s="112">
        <f t="shared" si="108"/>
        <v>-43166.374784</v>
      </c>
      <c r="BE17" s="113">
        <f t="shared" si="11"/>
        <v>-517996.49740799988</v>
      </c>
      <c r="BF17" s="112">
        <f t="shared" si="12"/>
        <v>-44893.029775360003</v>
      </c>
      <c r="BG17" s="112">
        <f t="shared" ref="BG17:BQ17" si="109">BF17</f>
        <v>-44893.029775360003</v>
      </c>
      <c r="BH17" s="112">
        <f t="shared" si="109"/>
        <v>-44893.029775360003</v>
      </c>
      <c r="BI17" s="112">
        <f t="shared" si="109"/>
        <v>-44893.029775360003</v>
      </c>
      <c r="BJ17" s="112">
        <f t="shared" si="109"/>
        <v>-44893.029775360003</v>
      </c>
      <c r="BK17" s="112">
        <f t="shared" si="109"/>
        <v>-44893.029775360003</v>
      </c>
      <c r="BL17" s="112">
        <f t="shared" si="109"/>
        <v>-44893.029775360003</v>
      </c>
      <c r="BM17" s="112">
        <f t="shared" si="109"/>
        <v>-44893.029775360003</v>
      </c>
      <c r="BN17" s="112">
        <f t="shared" si="109"/>
        <v>-44893.029775360003</v>
      </c>
      <c r="BO17" s="112">
        <f t="shared" si="109"/>
        <v>-44893.029775360003</v>
      </c>
      <c r="BP17" s="112">
        <f t="shared" si="109"/>
        <v>-44893.029775360003</v>
      </c>
      <c r="BQ17" s="112">
        <f t="shared" si="109"/>
        <v>-44893.029775360003</v>
      </c>
      <c r="BR17" s="113">
        <f t="shared" si="14"/>
        <v>-538716.35730432009</v>
      </c>
      <c r="BS17" s="112">
        <f t="shared" si="15"/>
        <v>-46688.750966374406</v>
      </c>
      <c r="BT17" s="112">
        <f t="shared" ref="BT17:CD17" si="110">BS17</f>
        <v>-46688.750966374406</v>
      </c>
      <c r="BU17" s="112">
        <f t="shared" si="110"/>
        <v>-46688.750966374406</v>
      </c>
      <c r="BV17" s="112">
        <f t="shared" si="110"/>
        <v>-46688.750966374406</v>
      </c>
      <c r="BW17" s="112">
        <f t="shared" si="110"/>
        <v>-46688.750966374406</v>
      </c>
      <c r="BX17" s="112">
        <f t="shared" si="110"/>
        <v>-46688.750966374406</v>
      </c>
      <c r="BY17" s="112">
        <f t="shared" si="110"/>
        <v>-46688.750966374406</v>
      </c>
      <c r="BZ17" s="112">
        <f t="shared" si="110"/>
        <v>-46688.750966374406</v>
      </c>
      <c r="CA17" s="112">
        <f t="shared" si="110"/>
        <v>-46688.750966374406</v>
      </c>
      <c r="CB17" s="112">
        <f t="shared" si="110"/>
        <v>-46688.750966374406</v>
      </c>
      <c r="CC17" s="112">
        <f t="shared" si="110"/>
        <v>-46688.750966374406</v>
      </c>
      <c r="CD17" s="112">
        <f t="shared" si="110"/>
        <v>-46688.750966374406</v>
      </c>
      <c r="CE17" s="113">
        <f t="shared" si="17"/>
        <v>-560265.01159649284</v>
      </c>
      <c r="CF17" s="112">
        <f t="shared" si="18"/>
        <v>-48556.301005029381</v>
      </c>
      <c r="CG17" s="112">
        <f t="shared" ref="CG17:CQ17" si="111">CF17</f>
        <v>-48556.301005029381</v>
      </c>
      <c r="CH17" s="112">
        <f t="shared" si="111"/>
        <v>-48556.301005029381</v>
      </c>
      <c r="CI17" s="112">
        <f t="shared" si="111"/>
        <v>-48556.301005029381</v>
      </c>
      <c r="CJ17" s="112">
        <f t="shared" si="111"/>
        <v>-48556.301005029381</v>
      </c>
      <c r="CK17" s="112">
        <f t="shared" si="111"/>
        <v>-48556.301005029381</v>
      </c>
      <c r="CL17" s="112">
        <f t="shared" si="111"/>
        <v>-48556.301005029381</v>
      </c>
      <c r="CM17" s="112">
        <f t="shared" si="111"/>
        <v>-48556.301005029381</v>
      </c>
      <c r="CN17" s="112">
        <f t="shared" si="111"/>
        <v>-48556.301005029381</v>
      </c>
      <c r="CO17" s="112">
        <f t="shared" si="111"/>
        <v>-48556.301005029381</v>
      </c>
      <c r="CP17" s="112">
        <f t="shared" si="111"/>
        <v>-48556.301005029381</v>
      </c>
      <c r="CQ17" s="112">
        <f t="shared" si="111"/>
        <v>-48556.301005029381</v>
      </c>
      <c r="CR17" s="113">
        <f t="shared" si="20"/>
        <v>-582675.61206035246</v>
      </c>
    </row>
    <row r="18" spans="1:96" ht="14.25" customHeight="1" x14ac:dyDescent="0.4">
      <c r="A18" s="71">
        <v>1</v>
      </c>
      <c r="B18" s="24" t="s">
        <v>531</v>
      </c>
      <c r="D18" s="49">
        <f>SUM(D16:D17)</f>
        <v>-18185704.567845844</v>
      </c>
      <c r="E18" s="49"/>
      <c r="F18" s="49">
        <f t="shared" ref="F18:CR18" si="112">SUM(F16:F17)</f>
        <v>-191873.75</v>
      </c>
      <c r="G18" s="49">
        <f t="shared" si="112"/>
        <v>-191873.75</v>
      </c>
      <c r="H18" s="49">
        <f t="shared" si="112"/>
        <v>-191873.75</v>
      </c>
      <c r="I18" s="49">
        <f t="shared" si="112"/>
        <v>-191873.75</v>
      </c>
      <c r="J18" s="49">
        <f t="shared" si="112"/>
        <v>-191873.75</v>
      </c>
      <c r="K18" s="49">
        <f t="shared" si="112"/>
        <v>-191873.75</v>
      </c>
      <c r="L18" s="49">
        <f t="shared" si="112"/>
        <v>-191873.75</v>
      </c>
      <c r="M18" s="49">
        <f t="shared" si="112"/>
        <v>-191873.75</v>
      </c>
      <c r="N18" s="49">
        <f t="shared" si="112"/>
        <v>-191873.75</v>
      </c>
      <c r="O18" s="49">
        <f t="shared" si="112"/>
        <v>-191873.75</v>
      </c>
      <c r="P18" s="49">
        <f t="shared" si="112"/>
        <v>-191873.75</v>
      </c>
      <c r="Q18" s="49">
        <f t="shared" si="112"/>
        <v>-191873.75</v>
      </c>
      <c r="R18" s="49">
        <f t="shared" si="112"/>
        <v>-2302485</v>
      </c>
      <c r="S18" s="49">
        <f t="shared" si="112"/>
        <v>-199548.69999999998</v>
      </c>
      <c r="T18" s="49">
        <f t="shared" si="112"/>
        <v>-199548.69999999998</v>
      </c>
      <c r="U18" s="49">
        <f t="shared" si="112"/>
        <v>-199548.69999999998</v>
      </c>
      <c r="V18" s="49">
        <f t="shared" si="112"/>
        <v>-199548.69999999998</v>
      </c>
      <c r="W18" s="49">
        <f t="shared" si="112"/>
        <v>-199548.69999999998</v>
      </c>
      <c r="X18" s="49">
        <f t="shared" si="112"/>
        <v>-199548.69999999998</v>
      </c>
      <c r="Y18" s="49">
        <f t="shared" si="112"/>
        <v>-199548.69999999998</v>
      </c>
      <c r="Z18" s="49">
        <f t="shared" si="112"/>
        <v>-199548.69999999998</v>
      </c>
      <c r="AA18" s="49">
        <f t="shared" si="112"/>
        <v>-199548.69999999998</v>
      </c>
      <c r="AB18" s="49">
        <f t="shared" si="112"/>
        <v>-199548.69999999998</v>
      </c>
      <c r="AC18" s="49">
        <f t="shared" si="112"/>
        <v>-199548.69999999998</v>
      </c>
      <c r="AD18" s="49">
        <f t="shared" si="112"/>
        <v>-199548.69999999998</v>
      </c>
      <c r="AE18" s="49">
        <f t="shared" si="112"/>
        <v>-2394584.4</v>
      </c>
      <c r="AF18" s="49">
        <f t="shared" si="112"/>
        <v>-207530.64799999999</v>
      </c>
      <c r="AG18" s="49">
        <f t="shared" si="112"/>
        <v>-207530.64799999999</v>
      </c>
      <c r="AH18" s="49">
        <f t="shared" si="112"/>
        <v>-207530.64799999999</v>
      </c>
      <c r="AI18" s="49">
        <f t="shared" si="112"/>
        <v>-207530.64799999999</v>
      </c>
      <c r="AJ18" s="49">
        <f t="shared" si="112"/>
        <v>-207530.64799999999</v>
      </c>
      <c r="AK18" s="49">
        <f t="shared" si="112"/>
        <v>-207530.64799999999</v>
      </c>
      <c r="AL18" s="49">
        <f t="shared" si="112"/>
        <v>-207530.64799999999</v>
      </c>
      <c r="AM18" s="49">
        <f t="shared" si="112"/>
        <v>-207530.64799999999</v>
      </c>
      <c r="AN18" s="49">
        <f t="shared" si="112"/>
        <v>-207530.64799999999</v>
      </c>
      <c r="AO18" s="49">
        <f t="shared" si="112"/>
        <v>-207530.64799999999</v>
      </c>
      <c r="AP18" s="49">
        <f t="shared" si="112"/>
        <v>-207530.64799999999</v>
      </c>
      <c r="AQ18" s="49">
        <f t="shared" si="112"/>
        <v>-207530.64799999999</v>
      </c>
      <c r="AR18" s="49">
        <f t="shared" si="112"/>
        <v>-2490367.7759999996</v>
      </c>
      <c r="AS18" s="49">
        <f t="shared" si="112"/>
        <v>-215831.87391999998</v>
      </c>
      <c r="AT18" s="49">
        <f t="shared" si="112"/>
        <v>-215831.87391999998</v>
      </c>
      <c r="AU18" s="49">
        <f t="shared" si="112"/>
        <v>-215831.87391999998</v>
      </c>
      <c r="AV18" s="49">
        <f t="shared" si="112"/>
        <v>-215831.87391999998</v>
      </c>
      <c r="AW18" s="49">
        <f t="shared" si="112"/>
        <v>-215831.87391999998</v>
      </c>
      <c r="AX18" s="49">
        <f t="shared" si="112"/>
        <v>-215831.87391999998</v>
      </c>
      <c r="AY18" s="49">
        <f t="shared" si="112"/>
        <v>-215831.87391999998</v>
      </c>
      <c r="AZ18" s="49">
        <f t="shared" si="112"/>
        <v>-215831.87391999998</v>
      </c>
      <c r="BA18" s="49">
        <f t="shared" si="112"/>
        <v>-215831.87391999998</v>
      </c>
      <c r="BB18" s="49">
        <f t="shared" si="112"/>
        <v>-215831.87391999998</v>
      </c>
      <c r="BC18" s="49">
        <f t="shared" si="112"/>
        <v>-215831.87391999998</v>
      </c>
      <c r="BD18" s="49">
        <f t="shared" si="112"/>
        <v>-215831.87391999998</v>
      </c>
      <c r="BE18" s="49">
        <f t="shared" si="112"/>
        <v>-2589982.4870399996</v>
      </c>
      <c r="BF18" s="49">
        <f t="shared" si="112"/>
        <v>-224465.14887680003</v>
      </c>
      <c r="BG18" s="49">
        <f t="shared" si="112"/>
        <v>-224465.14887680003</v>
      </c>
      <c r="BH18" s="49">
        <f t="shared" si="112"/>
        <v>-224465.14887680003</v>
      </c>
      <c r="BI18" s="49">
        <f t="shared" si="112"/>
        <v>-224465.14887680003</v>
      </c>
      <c r="BJ18" s="49">
        <f t="shared" si="112"/>
        <v>-224465.14887680003</v>
      </c>
      <c r="BK18" s="49">
        <f t="shared" si="112"/>
        <v>-224465.14887680003</v>
      </c>
      <c r="BL18" s="49">
        <f t="shared" si="112"/>
        <v>-224465.14887680003</v>
      </c>
      <c r="BM18" s="49">
        <f t="shared" si="112"/>
        <v>-224465.14887680003</v>
      </c>
      <c r="BN18" s="49">
        <f t="shared" si="112"/>
        <v>-224465.14887680003</v>
      </c>
      <c r="BO18" s="49">
        <f t="shared" si="112"/>
        <v>-224465.14887680003</v>
      </c>
      <c r="BP18" s="49">
        <f t="shared" si="112"/>
        <v>-224465.14887680003</v>
      </c>
      <c r="BQ18" s="49">
        <f t="shared" si="112"/>
        <v>-224465.14887680003</v>
      </c>
      <c r="BR18" s="49">
        <f t="shared" si="112"/>
        <v>-2693581.7865216006</v>
      </c>
      <c r="BS18" s="49">
        <f t="shared" si="112"/>
        <v>-233443.75483187204</v>
      </c>
      <c r="BT18" s="49">
        <f t="shared" si="112"/>
        <v>-233443.75483187204</v>
      </c>
      <c r="BU18" s="49">
        <f t="shared" si="112"/>
        <v>-233443.75483187204</v>
      </c>
      <c r="BV18" s="49">
        <f t="shared" si="112"/>
        <v>-233443.75483187204</v>
      </c>
      <c r="BW18" s="49">
        <f t="shared" si="112"/>
        <v>-233443.75483187204</v>
      </c>
      <c r="BX18" s="49">
        <f t="shared" si="112"/>
        <v>-233443.75483187204</v>
      </c>
      <c r="BY18" s="49">
        <f t="shared" si="112"/>
        <v>-233443.75483187204</v>
      </c>
      <c r="BZ18" s="49">
        <f t="shared" si="112"/>
        <v>-233443.75483187204</v>
      </c>
      <c r="CA18" s="49">
        <f t="shared" si="112"/>
        <v>-233443.75483187204</v>
      </c>
      <c r="CB18" s="49">
        <f t="shared" si="112"/>
        <v>-233443.75483187204</v>
      </c>
      <c r="CC18" s="49">
        <f t="shared" si="112"/>
        <v>-233443.75483187204</v>
      </c>
      <c r="CD18" s="49">
        <f t="shared" si="112"/>
        <v>-233443.75483187204</v>
      </c>
      <c r="CE18" s="49">
        <f t="shared" si="112"/>
        <v>-2801325.0579824643</v>
      </c>
      <c r="CF18" s="49">
        <f t="shared" si="112"/>
        <v>-242781.50502514691</v>
      </c>
      <c r="CG18" s="49">
        <f t="shared" si="112"/>
        <v>-242781.50502514691</v>
      </c>
      <c r="CH18" s="49">
        <f t="shared" si="112"/>
        <v>-242781.50502514691</v>
      </c>
      <c r="CI18" s="49">
        <f t="shared" si="112"/>
        <v>-242781.50502514691</v>
      </c>
      <c r="CJ18" s="49">
        <f t="shared" si="112"/>
        <v>-242781.50502514691</v>
      </c>
      <c r="CK18" s="49">
        <f t="shared" si="112"/>
        <v>-242781.50502514691</v>
      </c>
      <c r="CL18" s="49">
        <f t="shared" si="112"/>
        <v>-242781.50502514691</v>
      </c>
      <c r="CM18" s="49">
        <f t="shared" si="112"/>
        <v>-242781.50502514691</v>
      </c>
      <c r="CN18" s="49">
        <f t="shared" si="112"/>
        <v>-242781.50502514691</v>
      </c>
      <c r="CO18" s="49">
        <f t="shared" si="112"/>
        <v>-242781.50502514691</v>
      </c>
      <c r="CP18" s="49">
        <f t="shared" si="112"/>
        <v>-242781.50502514691</v>
      </c>
      <c r="CQ18" s="49">
        <f t="shared" si="112"/>
        <v>-242781.50502514691</v>
      </c>
      <c r="CR18" s="49">
        <f t="shared" si="112"/>
        <v>-2913378.0603017621</v>
      </c>
    </row>
    <row r="19" spans="1:96" ht="14.25" customHeight="1" x14ac:dyDescent="0.4">
      <c r="B19" t="s">
        <v>532</v>
      </c>
      <c r="D19" s="89">
        <f t="shared" ref="D19:D25" si="113">SUM(F19:CR19)-R19-AE19-AR19-BE19-BR19-CE19-CR19</f>
        <v>-500000</v>
      </c>
      <c r="E19" s="39"/>
      <c r="F19" s="38">
        <v>-30000</v>
      </c>
      <c r="G19" s="38"/>
      <c r="H19" s="38">
        <v>-30000</v>
      </c>
      <c r="I19" s="38"/>
      <c r="J19" s="38">
        <v>-40000</v>
      </c>
      <c r="K19" s="38"/>
      <c r="L19" s="38"/>
      <c r="M19" s="38"/>
      <c r="N19" s="38"/>
      <c r="O19" s="38"/>
      <c r="P19" s="38"/>
      <c r="Q19" s="38"/>
      <c r="R19" s="89">
        <f t="shared" ref="R19:R25" si="114">SUM(F19:Q19)</f>
        <v>-100000</v>
      </c>
      <c r="S19" s="38">
        <v>-15000</v>
      </c>
      <c r="U19" s="38"/>
      <c r="V19" s="38">
        <v>-10000</v>
      </c>
      <c r="X19" s="38"/>
      <c r="Y19" s="38">
        <v>-10000</v>
      </c>
      <c r="AA19" s="38"/>
      <c r="AB19" s="38">
        <v>-15000</v>
      </c>
      <c r="AC19" s="38"/>
      <c r="AD19" s="38"/>
      <c r="AE19" s="89">
        <f t="shared" ref="AE19:AE25" si="115">SUM(S19:AD19)</f>
        <v>-50000</v>
      </c>
      <c r="AF19" s="38">
        <v>-20000</v>
      </c>
      <c r="AH19" s="38"/>
      <c r="AI19" s="38">
        <v>-15000</v>
      </c>
      <c r="AK19" s="38"/>
      <c r="AL19" s="38">
        <v>-15000</v>
      </c>
      <c r="AN19" s="38"/>
      <c r="AO19" s="38">
        <v>-20000</v>
      </c>
      <c r="AP19" s="38"/>
      <c r="AQ19" s="38"/>
      <c r="AR19" s="89">
        <f t="shared" ref="AR19:AR25" si="116">SUM(AF19:AQ19)</f>
        <v>-70000</v>
      </c>
      <c r="AS19" s="38">
        <v>-20000</v>
      </c>
      <c r="AU19" s="38"/>
      <c r="AV19" s="38">
        <v>-15000</v>
      </c>
      <c r="AX19" s="38"/>
      <c r="AY19" s="38">
        <v>-15000</v>
      </c>
      <c r="BA19" s="38"/>
      <c r="BB19" s="38">
        <v>-20000</v>
      </c>
      <c r="BC19" s="38"/>
      <c r="BD19" s="38"/>
      <c r="BE19" s="89">
        <f t="shared" ref="BE19:BE25" si="117">SUM(AS19:BD19)</f>
        <v>-70000</v>
      </c>
      <c r="BF19" s="38">
        <v>-20000</v>
      </c>
      <c r="BH19" s="38"/>
      <c r="BI19" s="38">
        <v>-15000</v>
      </c>
      <c r="BK19" s="38"/>
      <c r="BL19" s="38">
        <v>-15000</v>
      </c>
      <c r="BN19" s="38"/>
      <c r="BO19" s="38">
        <v>-20000</v>
      </c>
      <c r="BP19" s="38"/>
      <c r="BQ19" s="38"/>
      <c r="BR19" s="89">
        <f t="shared" ref="BR19:BR25" si="118">SUM(BF19:BQ19)</f>
        <v>-70000</v>
      </c>
      <c r="BS19" s="38">
        <v>-20000</v>
      </c>
      <c r="BU19" s="38"/>
      <c r="BV19" s="38">
        <v>-15000</v>
      </c>
      <c r="BX19" s="38"/>
      <c r="BY19" s="38">
        <v>-15000</v>
      </c>
      <c r="CA19" s="38"/>
      <c r="CB19" s="38">
        <v>-20000</v>
      </c>
      <c r="CC19" s="38"/>
      <c r="CD19" s="38"/>
      <c r="CE19" s="89">
        <f t="shared" ref="CE19:CE25" si="119">SUM(BS19:CD19)</f>
        <v>-70000</v>
      </c>
      <c r="CF19" s="38">
        <v>-20000</v>
      </c>
      <c r="CH19" s="38"/>
      <c r="CI19" s="38">
        <v>-15000</v>
      </c>
      <c r="CK19" s="38"/>
      <c r="CL19" s="38">
        <v>-15000</v>
      </c>
      <c r="CN19" s="38"/>
      <c r="CO19" s="38">
        <v>-20000</v>
      </c>
      <c r="CP19" s="38"/>
      <c r="CQ19" s="38"/>
      <c r="CR19" s="89">
        <f t="shared" ref="CR19:CR25" si="120">SUM(CF19:CQ19)</f>
        <v>-70000</v>
      </c>
    </row>
    <row r="20" spans="1:96" ht="14.25" customHeight="1" x14ac:dyDescent="0.4">
      <c r="A20" s="71"/>
      <c r="B20" s="426" t="s">
        <v>676</v>
      </c>
      <c r="C20" t="s">
        <v>533</v>
      </c>
      <c r="D20" s="89">
        <f t="shared" si="113"/>
        <v>-394725.16497725836</v>
      </c>
      <c r="F20" s="87">
        <f>2-50000/12</f>
        <v>-4164.666666666667</v>
      </c>
      <c r="G20" s="87">
        <f t="shared" ref="G20:Q20" si="121">F20</f>
        <v>-4164.666666666667</v>
      </c>
      <c r="H20" s="87">
        <f t="shared" si="121"/>
        <v>-4164.666666666667</v>
      </c>
      <c r="I20" s="87">
        <f t="shared" si="121"/>
        <v>-4164.666666666667</v>
      </c>
      <c r="J20" s="87">
        <f t="shared" si="121"/>
        <v>-4164.666666666667</v>
      </c>
      <c r="K20" s="87">
        <f t="shared" si="121"/>
        <v>-4164.666666666667</v>
      </c>
      <c r="L20" s="87">
        <f t="shared" si="121"/>
        <v>-4164.666666666667</v>
      </c>
      <c r="M20" s="87">
        <f t="shared" si="121"/>
        <v>-4164.666666666667</v>
      </c>
      <c r="N20" s="87">
        <f t="shared" si="121"/>
        <v>-4164.666666666667</v>
      </c>
      <c r="O20" s="87">
        <f t="shared" si="121"/>
        <v>-4164.666666666667</v>
      </c>
      <c r="P20" s="87">
        <f t="shared" si="121"/>
        <v>-4164.666666666667</v>
      </c>
      <c r="Q20" s="87">
        <f t="shared" si="121"/>
        <v>-4164.666666666667</v>
      </c>
      <c r="R20" s="89">
        <f t="shared" si="114"/>
        <v>-49975.999999999993</v>
      </c>
      <c r="S20" s="38">
        <f>Q20*'Field Operations'!$D$2</f>
        <v>-4331.253333333334</v>
      </c>
      <c r="T20" s="38">
        <f t="shared" ref="T20:AD20" si="122">S20</f>
        <v>-4331.253333333334</v>
      </c>
      <c r="U20" s="38">
        <f t="shared" si="122"/>
        <v>-4331.253333333334</v>
      </c>
      <c r="V20" s="38">
        <f t="shared" si="122"/>
        <v>-4331.253333333334</v>
      </c>
      <c r="W20" s="38">
        <f t="shared" si="122"/>
        <v>-4331.253333333334</v>
      </c>
      <c r="X20" s="38">
        <f t="shared" si="122"/>
        <v>-4331.253333333334</v>
      </c>
      <c r="Y20" s="38">
        <f t="shared" si="122"/>
        <v>-4331.253333333334</v>
      </c>
      <c r="Z20" s="38">
        <f t="shared" si="122"/>
        <v>-4331.253333333334</v>
      </c>
      <c r="AA20" s="38">
        <f t="shared" si="122"/>
        <v>-4331.253333333334</v>
      </c>
      <c r="AB20" s="38">
        <f t="shared" si="122"/>
        <v>-4331.253333333334</v>
      </c>
      <c r="AC20" s="38">
        <f t="shared" si="122"/>
        <v>-4331.253333333334</v>
      </c>
      <c r="AD20" s="38">
        <f t="shared" si="122"/>
        <v>-4331.253333333334</v>
      </c>
      <c r="AE20" s="89">
        <f t="shared" si="115"/>
        <v>-51975.040000000008</v>
      </c>
      <c r="AF20" s="38">
        <f>AD20*'Field Operations'!$D$2</f>
        <v>-4504.5034666666679</v>
      </c>
      <c r="AG20" s="38">
        <f t="shared" ref="AG20:AQ20" si="123">AF20</f>
        <v>-4504.5034666666679</v>
      </c>
      <c r="AH20" s="38">
        <f t="shared" si="123"/>
        <v>-4504.5034666666679</v>
      </c>
      <c r="AI20" s="38">
        <f t="shared" si="123"/>
        <v>-4504.5034666666679</v>
      </c>
      <c r="AJ20" s="38">
        <f t="shared" si="123"/>
        <v>-4504.5034666666679</v>
      </c>
      <c r="AK20" s="38">
        <f t="shared" si="123"/>
        <v>-4504.5034666666679</v>
      </c>
      <c r="AL20" s="38">
        <f t="shared" si="123"/>
        <v>-4504.5034666666679</v>
      </c>
      <c r="AM20" s="38">
        <f t="shared" si="123"/>
        <v>-4504.5034666666679</v>
      </c>
      <c r="AN20" s="38">
        <f t="shared" si="123"/>
        <v>-4504.5034666666679</v>
      </c>
      <c r="AO20" s="38">
        <f t="shared" si="123"/>
        <v>-4504.5034666666679</v>
      </c>
      <c r="AP20" s="38">
        <f t="shared" si="123"/>
        <v>-4504.5034666666679</v>
      </c>
      <c r="AQ20" s="38">
        <f t="shared" si="123"/>
        <v>-4504.5034666666679</v>
      </c>
      <c r="AR20" s="89">
        <f t="shared" si="116"/>
        <v>-54054.041600000019</v>
      </c>
      <c r="AS20" s="38">
        <f>AQ20*'Field Operations'!$D$2</f>
        <v>-4684.6836053333345</v>
      </c>
      <c r="AT20" s="38">
        <f t="shared" ref="AT20:BD20" si="124">AS20</f>
        <v>-4684.6836053333345</v>
      </c>
      <c r="AU20" s="38">
        <f t="shared" si="124"/>
        <v>-4684.6836053333345</v>
      </c>
      <c r="AV20" s="38">
        <f t="shared" si="124"/>
        <v>-4684.6836053333345</v>
      </c>
      <c r="AW20" s="38">
        <f t="shared" si="124"/>
        <v>-4684.6836053333345</v>
      </c>
      <c r="AX20" s="38">
        <f t="shared" si="124"/>
        <v>-4684.6836053333345</v>
      </c>
      <c r="AY20" s="38">
        <f t="shared" si="124"/>
        <v>-4684.6836053333345</v>
      </c>
      <c r="AZ20" s="38">
        <f t="shared" si="124"/>
        <v>-4684.6836053333345</v>
      </c>
      <c r="BA20" s="38">
        <f t="shared" si="124"/>
        <v>-4684.6836053333345</v>
      </c>
      <c r="BB20" s="38">
        <f t="shared" si="124"/>
        <v>-4684.6836053333345</v>
      </c>
      <c r="BC20" s="38">
        <f t="shared" si="124"/>
        <v>-4684.6836053333345</v>
      </c>
      <c r="BD20" s="38">
        <f t="shared" si="124"/>
        <v>-4684.6836053333345</v>
      </c>
      <c r="BE20" s="89">
        <f t="shared" si="117"/>
        <v>-56216.203264000003</v>
      </c>
      <c r="BF20" s="38">
        <f>BD20*'Field Operations'!$D$2</f>
        <v>-4872.0709495466681</v>
      </c>
      <c r="BG20" s="38">
        <f t="shared" ref="BG20:BQ20" si="125">BF20</f>
        <v>-4872.0709495466681</v>
      </c>
      <c r="BH20" s="38">
        <f t="shared" si="125"/>
        <v>-4872.0709495466681</v>
      </c>
      <c r="BI20" s="38">
        <f t="shared" si="125"/>
        <v>-4872.0709495466681</v>
      </c>
      <c r="BJ20" s="38">
        <f t="shared" si="125"/>
        <v>-4872.0709495466681</v>
      </c>
      <c r="BK20" s="38">
        <f t="shared" si="125"/>
        <v>-4872.0709495466681</v>
      </c>
      <c r="BL20" s="38">
        <f t="shared" si="125"/>
        <v>-4872.0709495466681</v>
      </c>
      <c r="BM20" s="38">
        <f t="shared" si="125"/>
        <v>-4872.0709495466681</v>
      </c>
      <c r="BN20" s="38">
        <f t="shared" si="125"/>
        <v>-4872.0709495466681</v>
      </c>
      <c r="BO20" s="38">
        <f t="shared" si="125"/>
        <v>-4872.0709495466681</v>
      </c>
      <c r="BP20" s="38">
        <f t="shared" si="125"/>
        <v>-4872.0709495466681</v>
      </c>
      <c r="BQ20" s="38">
        <f t="shared" si="125"/>
        <v>-4872.0709495466681</v>
      </c>
      <c r="BR20" s="89">
        <f t="shared" si="118"/>
        <v>-58464.851394560006</v>
      </c>
      <c r="BS20" s="38">
        <f>BQ20*'Field Operations'!$D$2</f>
        <v>-5066.953787528535</v>
      </c>
      <c r="BT20" s="38">
        <f t="shared" ref="BT20:CD20" si="126">BS20</f>
        <v>-5066.953787528535</v>
      </c>
      <c r="BU20" s="38">
        <f t="shared" si="126"/>
        <v>-5066.953787528535</v>
      </c>
      <c r="BV20" s="38">
        <f t="shared" si="126"/>
        <v>-5066.953787528535</v>
      </c>
      <c r="BW20" s="38">
        <f t="shared" si="126"/>
        <v>-5066.953787528535</v>
      </c>
      <c r="BX20" s="38">
        <f t="shared" si="126"/>
        <v>-5066.953787528535</v>
      </c>
      <c r="BY20" s="38">
        <f t="shared" si="126"/>
        <v>-5066.953787528535</v>
      </c>
      <c r="BZ20" s="38">
        <f t="shared" si="126"/>
        <v>-5066.953787528535</v>
      </c>
      <c r="CA20" s="38">
        <f t="shared" si="126"/>
        <v>-5066.953787528535</v>
      </c>
      <c r="CB20" s="38">
        <f t="shared" si="126"/>
        <v>-5066.953787528535</v>
      </c>
      <c r="CC20" s="38">
        <f t="shared" si="126"/>
        <v>-5066.953787528535</v>
      </c>
      <c r="CD20" s="38">
        <f t="shared" si="126"/>
        <v>-5066.953787528535</v>
      </c>
      <c r="CE20" s="89">
        <f t="shared" si="119"/>
        <v>-60803.445450342406</v>
      </c>
      <c r="CF20" s="38">
        <f>CD20*'Field Operations'!$D$2</f>
        <v>-5269.6319390296767</v>
      </c>
      <c r="CG20" s="38">
        <f t="shared" ref="CG20:CQ20" si="127">CF20</f>
        <v>-5269.6319390296767</v>
      </c>
      <c r="CH20" s="38">
        <f t="shared" si="127"/>
        <v>-5269.6319390296767</v>
      </c>
      <c r="CI20" s="38">
        <f t="shared" si="127"/>
        <v>-5269.6319390296767</v>
      </c>
      <c r="CJ20" s="38">
        <f t="shared" si="127"/>
        <v>-5269.6319390296767</v>
      </c>
      <c r="CK20" s="38">
        <f t="shared" si="127"/>
        <v>-5269.6319390296767</v>
      </c>
      <c r="CL20" s="38">
        <f t="shared" si="127"/>
        <v>-5269.6319390296767</v>
      </c>
      <c r="CM20" s="38">
        <f t="shared" si="127"/>
        <v>-5269.6319390296767</v>
      </c>
      <c r="CN20" s="38">
        <f t="shared" si="127"/>
        <v>-5269.6319390296767</v>
      </c>
      <c r="CO20" s="38">
        <f t="shared" si="127"/>
        <v>-5269.6319390296767</v>
      </c>
      <c r="CP20" s="38">
        <f t="shared" si="127"/>
        <v>-5269.6319390296767</v>
      </c>
      <c r="CQ20" s="38">
        <f t="shared" si="127"/>
        <v>-5269.6319390296767</v>
      </c>
      <c r="CR20" s="89">
        <f t="shared" si="120"/>
        <v>-63235.583268356124</v>
      </c>
    </row>
    <row r="21" spans="1:96" ht="14.25" customHeight="1" x14ac:dyDescent="0.4">
      <c r="A21" s="71"/>
      <c r="B21" t="s">
        <v>534</v>
      </c>
      <c r="C21" t="s">
        <v>535</v>
      </c>
      <c r="D21" s="89">
        <f t="shared" si="113"/>
        <v>-236948.83442688017</v>
      </c>
      <c r="F21" s="87">
        <f>-30000/12</f>
        <v>-2500</v>
      </c>
      <c r="G21" s="87">
        <f t="shared" ref="G21:Q21" si="128">F21</f>
        <v>-2500</v>
      </c>
      <c r="H21" s="87">
        <f t="shared" si="128"/>
        <v>-2500</v>
      </c>
      <c r="I21" s="87">
        <f t="shared" si="128"/>
        <v>-2500</v>
      </c>
      <c r="J21" s="87">
        <f t="shared" si="128"/>
        <v>-2500</v>
      </c>
      <c r="K21" s="87">
        <f t="shared" si="128"/>
        <v>-2500</v>
      </c>
      <c r="L21" s="87">
        <f t="shared" si="128"/>
        <v>-2500</v>
      </c>
      <c r="M21" s="87">
        <f t="shared" si="128"/>
        <v>-2500</v>
      </c>
      <c r="N21" s="87">
        <f t="shared" si="128"/>
        <v>-2500</v>
      </c>
      <c r="O21" s="87">
        <f t="shared" si="128"/>
        <v>-2500</v>
      </c>
      <c r="P21" s="87">
        <f t="shared" si="128"/>
        <v>-2500</v>
      </c>
      <c r="Q21" s="87">
        <f t="shared" si="128"/>
        <v>-2500</v>
      </c>
      <c r="R21" s="89">
        <f t="shared" si="114"/>
        <v>-30000</v>
      </c>
      <c r="S21" s="38">
        <f>Q21*'Field Operations'!$D$2</f>
        <v>-2600</v>
      </c>
      <c r="T21" s="38">
        <f t="shared" ref="T21:AD21" si="129">S21</f>
        <v>-2600</v>
      </c>
      <c r="U21" s="38">
        <f t="shared" si="129"/>
        <v>-2600</v>
      </c>
      <c r="V21" s="38">
        <f t="shared" si="129"/>
        <v>-2600</v>
      </c>
      <c r="W21" s="38">
        <f t="shared" si="129"/>
        <v>-2600</v>
      </c>
      <c r="X21" s="38">
        <f t="shared" si="129"/>
        <v>-2600</v>
      </c>
      <c r="Y21" s="38">
        <f t="shared" si="129"/>
        <v>-2600</v>
      </c>
      <c r="Z21" s="38">
        <f t="shared" si="129"/>
        <v>-2600</v>
      </c>
      <c r="AA21" s="38">
        <f t="shared" si="129"/>
        <v>-2600</v>
      </c>
      <c r="AB21" s="38">
        <f t="shared" si="129"/>
        <v>-2600</v>
      </c>
      <c r="AC21" s="38">
        <f t="shared" si="129"/>
        <v>-2600</v>
      </c>
      <c r="AD21" s="38">
        <f t="shared" si="129"/>
        <v>-2600</v>
      </c>
      <c r="AE21" s="89">
        <f t="shared" si="115"/>
        <v>-31200</v>
      </c>
      <c r="AF21" s="38">
        <f>AD21*'Field Operations'!$D$2</f>
        <v>-2704</v>
      </c>
      <c r="AG21" s="38">
        <f t="shared" ref="AG21:AQ21" si="130">AF21</f>
        <v>-2704</v>
      </c>
      <c r="AH21" s="38">
        <f t="shared" si="130"/>
        <v>-2704</v>
      </c>
      <c r="AI21" s="38">
        <f t="shared" si="130"/>
        <v>-2704</v>
      </c>
      <c r="AJ21" s="38">
        <f t="shared" si="130"/>
        <v>-2704</v>
      </c>
      <c r="AK21" s="38">
        <f t="shared" si="130"/>
        <v>-2704</v>
      </c>
      <c r="AL21" s="38">
        <f t="shared" si="130"/>
        <v>-2704</v>
      </c>
      <c r="AM21" s="38">
        <f t="shared" si="130"/>
        <v>-2704</v>
      </c>
      <c r="AN21" s="38">
        <f t="shared" si="130"/>
        <v>-2704</v>
      </c>
      <c r="AO21" s="38">
        <f t="shared" si="130"/>
        <v>-2704</v>
      </c>
      <c r="AP21" s="38">
        <f t="shared" si="130"/>
        <v>-2704</v>
      </c>
      <c r="AQ21" s="38">
        <f t="shared" si="130"/>
        <v>-2704</v>
      </c>
      <c r="AR21" s="89">
        <f t="shared" si="116"/>
        <v>-32448</v>
      </c>
      <c r="AS21" s="38">
        <f>AQ21*'Field Operations'!$D$2</f>
        <v>-2812.1600000000003</v>
      </c>
      <c r="AT21" s="38">
        <f t="shared" ref="AT21:BD21" si="131">AS21</f>
        <v>-2812.1600000000003</v>
      </c>
      <c r="AU21" s="38">
        <f t="shared" si="131"/>
        <v>-2812.1600000000003</v>
      </c>
      <c r="AV21" s="38">
        <f t="shared" si="131"/>
        <v>-2812.1600000000003</v>
      </c>
      <c r="AW21" s="38">
        <f t="shared" si="131"/>
        <v>-2812.1600000000003</v>
      </c>
      <c r="AX21" s="38">
        <f t="shared" si="131"/>
        <v>-2812.1600000000003</v>
      </c>
      <c r="AY21" s="38">
        <f t="shared" si="131"/>
        <v>-2812.1600000000003</v>
      </c>
      <c r="AZ21" s="38">
        <f t="shared" si="131"/>
        <v>-2812.1600000000003</v>
      </c>
      <c r="BA21" s="38">
        <f t="shared" si="131"/>
        <v>-2812.1600000000003</v>
      </c>
      <c r="BB21" s="38">
        <f t="shared" si="131"/>
        <v>-2812.1600000000003</v>
      </c>
      <c r="BC21" s="38">
        <f t="shared" si="131"/>
        <v>-2812.1600000000003</v>
      </c>
      <c r="BD21" s="38">
        <f t="shared" si="131"/>
        <v>-2812.1600000000003</v>
      </c>
      <c r="BE21" s="89">
        <f t="shared" si="117"/>
        <v>-33745.920000000006</v>
      </c>
      <c r="BF21" s="38">
        <f>BD21*'Field Operations'!$D$2</f>
        <v>-2924.6464000000005</v>
      </c>
      <c r="BG21" s="38">
        <f t="shared" ref="BG21:BQ21" si="132">BF21</f>
        <v>-2924.6464000000005</v>
      </c>
      <c r="BH21" s="38">
        <f t="shared" si="132"/>
        <v>-2924.6464000000005</v>
      </c>
      <c r="BI21" s="38">
        <f t="shared" si="132"/>
        <v>-2924.6464000000005</v>
      </c>
      <c r="BJ21" s="38">
        <f t="shared" si="132"/>
        <v>-2924.6464000000005</v>
      </c>
      <c r="BK21" s="38">
        <f t="shared" si="132"/>
        <v>-2924.6464000000005</v>
      </c>
      <c r="BL21" s="38">
        <f t="shared" si="132"/>
        <v>-2924.6464000000005</v>
      </c>
      <c r="BM21" s="38">
        <f t="shared" si="132"/>
        <v>-2924.6464000000005</v>
      </c>
      <c r="BN21" s="38">
        <f t="shared" si="132"/>
        <v>-2924.6464000000005</v>
      </c>
      <c r="BO21" s="38">
        <f t="shared" si="132"/>
        <v>-2924.6464000000005</v>
      </c>
      <c r="BP21" s="38">
        <f t="shared" si="132"/>
        <v>-2924.6464000000005</v>
      </c>
      <c r="BQ21" s="38">
        <f t="shared" si="132"/>
        <v>-2924.6464000000005</v>
      </c>
      <c r="BR21" s="89">
        <f t="shared" si="118"/>
        <v>-35095.75680000001</v>
      </c>
      <c r="BS21" s="38">
        <f>BQ21*'Field Operations'!$D$2</f>
        <v>-3041.6322560000008</v>
      </c>
      <c r="BT21" s="38">
        <f t="shared" ref="BT21:CD21" si="133">BS21</f>
        <v>-3041.6322560000008</v>
      </c>
      <c r="BU21" s="38">
        <f t="shared" si="133"/>
        <v>-3041.6322560000008</v>
      </c>
      <c r="BV21" s="38">
        <f t="shared" si="133"/>
        <v>-3041.6322560000008</v>
      </c>
      <c r="BW21" s="38">
        <f t="shared" si="133"/>
        <v>-3041.6322560000008</v>
      </c>
      <c r="BX21" s="38">
        <f t="shared" si="133"/>
        <v>-3041.6322560000008</v>
      </c>
      <c r="BY21" s="38">
        <f t="shared" si="133"/>
        <v>-3041.6322560000008</v>
      </c>
      <c r="BZ21" s="38">
        <f t="shared" si="133"/>
        <v>-3041.6322560000008</v>
      </c>
      <c r="CA21" s="38">
        <f t="shared" si="133"/>
        <v>-3041.6322560000008</v>
      </c>
      <c r="CB21" s="38">
        <f t="shared" si="133"/>
        <v>-3041.6322560000008</v>
      </c>
      <c r="CC21" s="38">
        <f t="shared" si="133"/>
        <v>-3041.6322560000008</v>
      </c>
      <c r="CD21" s="38">
        <f t="shared" si="133"/>
        <v>-3041.6322560000008</v>
      </c>
      <c r="CE21" s="89">
        <f t="shared" si="119"/>
        <v>-36499.587072000009</v>
      </c>
      <c r="CF21" s="38">
        <f>CD21*'Field Operations'!$D$2</f>
        <v>-3163.2975462400009</v>
      </c>
      <c r="CG21" s="38">
        <f t="shared" ref="CG21:CQ21" si="134">CF21</f>
        <v>-3163.2975462400009</v>
      </c>
      <c r="CH21" s="38">
        <f t="shared" si="134"/>
        <v>-3163.2975462400009</v>
      </c>
      <c r="CI21" s="38">
        <f t="shared" si="134"/>
        <v>-3163.2975462400009</v>
      </c>
      <c r="CJ21" s="38">
        <f t="shared" si="134"/>
        <v>-3163.2975462400009</v>
      </c>
      <c r="CK21" s="38">
        <f t="shared" si="134"/>
        <v>-3163.2975462400009</v>
      </c>
      <c r="CL21" s="38">
        <f t="shared" si="134"/>
        <v>-3163.2975462400009</v>
      </c>
      <c r="CM21" s="38">
        <f t="shared" si="134"/>
        <v>-3163.2975462400009</v>
      </c>
      <c r="CN21" s="38">
        <f t="shared" si="134"/>
        <v>-3163.2975462400009</v>
      </c>
      <c r="CO21" s="38">
        <f t="shared" si="134"/>
        <v>-3163.2975462400009</v>
      </c>
      <c r="CP21" s="38">
        <f t="shared" si="134"/>
        <v>-3163.2975462400009</v>
      </c>
      <c r="CQ21" s="38">
        <f t="shared" si="134"/>
        <v>-3163.2975462400009</v>
      </c>
      <c r="CR21" s="89">
        <f t="shared" si="120"/>
        <v>-37959.570554880003</v>
      </c>
    </row>
    <row r="22" spans="1:96" ht="14.25" customHeight="1" x14ac:dyDescent="0.4">
      <c r="A22" s="71">
        <v>2</v>
      </c>
      <c r="B22" s="426" t="s">
        <v>682</v>
      </c>
      <c r="C22" s="39"/>
      <c r="D22" s="89">
        <f t="shared" si="113"/>
        <v>-6379000</v>
      </c>
      <c r="E22" s="39"/>
      <c r="F22" s="39">
        <v>0</v>
      </c>
      <c r="G22" s="39">
        <v>0</v>
      </c>
      <c r="H22" s="39">
        <v>0</v>
      </c>
      <c r="I22" s="39">
        <v>0</v>
      </c>
      <c r="J22" s="39">
        <v>0</v>
      </c>
      <c r="K22" s="39">
        <v>0</v>
      </c>
      <c r="L22" s="39">
        <f>'Budget First 84 months'!K18*-1000</f>
        <v>-2000</v>
      </c>
      <c r="M22" s="39">
        <f>'Budget First 84 months'!L18*-1000</f>
        <v>-2000</v>
      </c>
      <c r="N22" s="39">
        <f>'Budget First 84 months'!M18*-1000</f>
        <v>-5000</v>
      </c>
      <c r="O22" s="39">
        <f>'Budget First 84 months'!N18*-1000</f>
        <v>-5000</v>
      </c>
      <c r="P22" s="39">
        <f>'Budget First 84 months'!O18*-1000</f>
        <v>-10000</v>
      </c>
      <c r="Q22" s="39">
        <f>'Budget First 84 months'!P18*-1000</f>
        <v>-10000</v>
      </c>
      <c r="R22" s="49">
        <f t="shared" si="114"/>
        <v>-34000</v>
      </c>
      <c r="S22" s="39">
        <f>'Budget First 84 months'!R18*-1000</f>
        <v>-10000</v>
      </c>
      <c r="T22" s="39">
        <f>'Budget First 84 months'!S18*-1000</f>
        <v>-15000</v>
      </c>
      <c r="U22" s="39">
        <f>'Budget First 84 months'!T18*-1000</f>
        <v>-20000</v>
      </c>
      <c r="V22" s="39">
        <f>'Budget First 84 months'!U18*-1000</f>
        <v>-25000</v>
      </c>
      <c r="W22" s="39">
        <f>'Budget First 84 months'!V18*-1000</f>
        <v>-30000</v>
      </c>
      <c r="X22" s="39">
        <f>'Budget First 84 months'!W18*-1000</f>
        <v>-35000</v>
      </c>
      <c r="Y22" s="39">
        <f>'Budget First 84 months'!X18*-1000</f>
        <v>-40000</v>
      </c>
      <c r="Z22" s="39">
        <f>'Budget First 84 months'!Y18*-1000</f>
        <v>-45000</v>
      </c>
      <c r="AA22" s="39">
        <f>'Budget First 84 months'!Z18*-1000</f>
        <v>-50000</v>
      </c>
      <c r="AB22" s="39">
        <f>'Budget First 84 months'!AA18*-1000</f>
        <v>-55000</v>
      </c>
      <c r="AC22" s="39">
        <f>'Budget First 84 months'!AB18*-1000</f>
        <v>-60000</v>
      </c>
      <c r="AD22" s="39">
        <f>'Budget First 84 months'!AC18*-1000</f>
        <v>-65000</v>
      </c>
      <c r="AE22" s="49">
        <f t="shared" si="115"/>
        <v>-450000</v>
      </c>
      <c r="AF22" s="39">
        <f>'Budget First 84 months'!AE18*-1000</f>
        <v>-70000</v>
      </c>
      <c r="AG22" s="39">
        <f>'Budget First 84 months'!AF18*-1000</f>
        <v>-75000</v>
      </c>
      <c r="AH22" s="39">
        <f>'Budget First 84 months'!AG18*-1000</f>
        <v>-80000</v>
      </c>
      <c r="AI22" s="39">
        <f>'Budget First 84 months'!AH18*-1000</f>
        <v>-85000</v>
      </c>
      <c r="AJ22" s="39">
        <f>'Budget First 84 months'!AI18*-1000</f>
        <v>-90000</v>
      </c>
      <c r="AK22" s="39">
        <f>'Budget First 84 months'!AJ18*-1000</f>
        <v>-95000</v>
      </c>
      <c r="AL22" s="39">
        <f>'Budget First 84 months'!AK18*-1000</f>
        <v>-100000</v>
      </c>
      <c r="AM22" s="39">
        <f>'Budget First 84 months'!AL18*-1000</f>
        <v>-100000</v>
      </c>
      <c r="AN22" s="39">
        <f>'Budget First 84 months'!AM18*-1000</f>
        <v>-100000</v>
      </c>
      <c r="AO22" s="39">
        <f>'Budget First 84 months'!AN18*-1000</f>
        <v>-100000</v>
      </c>
      <c r="AP22" s="39">
        <f>'Budget First 84 months'!AO18*-1000</f>
        <v>-100000</v>
      </c>
      <c r="AQ22" s="39">
        <f>'Budget First 84 months'!AP18*-1000</f>
        <v>-100000</v>
      </c>
      <c r="AR22" s="89">
        <f t="shared" si="116"/>
        <v>-1095000</v>
      </c>
      <c r="AS22" s="39">
        <f>'Budget First 84 months'!AR18*-1000</f>
        <v>-100000</v>
      </c>
      <c r="AT22" s="39">
        <f>'Budget First 84 months'!AS18*-1000</f>
        <v>-100000</v>
      </c>
      <c r="AU22" s="39">
        <f>'Budget First 84 months'!AT18*-1000</f>
        <v>-100000</v>
      </c>
      <c r="AV22" s="39">
        <f>'Budget First 84 months'!AU18*-1000</f>
        <v>-100000</v>
      </c>
      <c r="AW22" s="39">
        <f>'Budget First 84 months'!AV18*-1000</f>
        <v>-100000</v>
      </c>
      <c r="AX22" s="39">
        <f>'Budget First 84 months'!AW18*-1000</f>
        <v>-100000</v>
      </c>
      <c r="AY22" s="39">
        <f>'Budget First 84 months'!AX18*-1000</f>
        <v>-100000</v>
      </c>
      <c r="AZ22" s="39">
        <f>'Budget First 84 months'!AY18*-1000</f>
        <v>-100000</v>
      </c>
      <c r="BA22" s="39">
        <f>'Budget First 84 months'!AZ18*-1000</f>
        <v>-100000</v>
      </c>
      <c r="BB22" s="39">
        <f>'Budget First 84 months'!BA18*-1000</f>
        <v>-100000</v>
      </c>
      <c r="BC22" s="39">
        <f>'Budget First 84 months'!BB18*-1000</f>
        <v>-100000</v>
      </c>
      <c r="BD22" s="39">
        <f>'Budget First 84 months'!BC18*-1000</f>
        <v>-100000</v>
      </c>
      <c r="BE22" s="89">
        <f t="shared" si="117"/>
        <v>-1200000</v>
      </c>
      <c r="BF22" s="39">
        <f>'Budget First 84 months'!BE18*-1000</f>
        <v>-100000</v>
      </c>
      <c r="BG22" s="39">
        <f>'Budget First 84 months'!BF18*-1000</f>
        <v>-100000</v>
      </c>
      <c r="BH22" s="39">
        <f>'Budget First 84 months'!BG18*-1000</f>
        <v>-100000</v>
      </c>
      <c r="BI22" s="39">
        <f>'Budget First 84 months'!BH18*-1000</f>
        <v>-100000</v>
      </c>
      <c r="BJ22" s="39">
        <f>'Budget First 84 months'!BI18*-1000</f>
        <v>-100000</v>
      </c>
      <c r="BK22" s="39">
        <f>'Budget First 84 months'!BJ18*-1000</f>
        <v>-100000</v>
      </c>
      <c r="BL22" s="39">
        <f>'Budget First 84 months'!BK18*-1000</f>
        <v>-100000</v>
      </c>
      <c r="BM22" s="39">
        <f>'Budget First 84 months'!BL18*-1000</f>
        <v>-100000</v>
      </c>
      <c r="BN22" s="39">
        <f>'Budget First 84 months'!BM18*-1000</f>
        <v>-100000</v>
      </c>
      <c r="BO22" s="39">
        <f>'Budget First 84 months'!BN18*-1000</f>
        <v>-100000</v>
      </c>
      <c r="BP22" s="39">
        <f>'Budget First 84 months'!BO18*-1000</f>
        <v>-100000</v>
      </c>
      <c r="BQ22" s="39">
        <f>'Budget First 84 months'!BP18*-1000</f>
        <v>-100000</v>
      </c>
      <c r="BR22" s="49">
        <f t="shared" si="118"/>
        <v>-1200000</v>
      </c>
      <c r="BS22" s="39">
        <f>'Budget First 84 months'!BR18*-1000</f>
        <v>-100000</v>
      </c>
      <c r="BT22" s="39">
        <f>'Budget First 84 months'!BS18*-1000</f>
        <v>-100000</v>
      </c>
      <c r="BU22" s="39">
        <f>'Budget First 84 months'!BT18*-1000</f>
        <v>-100000</v>
      </c>
      <c r="BV22" s="39">
        <f>'Budget First 84 months'!BU18*-1000</f>
        <v>-100000</v>
      </c>
      <c r="BW22" s="39">
        <f>'Budget First 84 months'!BV18*-1000</f>
        <v>-100000</v>
      </c>
      <c r="BX22" s="39">
        <f>'Budget First 84 months'!BW18*-1000</f>
        <v>-100000</v>
      </c>
      <c r="BY22" s="39">
        <f>'Budget First 84 months'!BX18*-1000</f>
        <v>-100000</v>
      </c>
      <c r="BZ22" s="39">
        <f>'Budget First 84 months'!BY18*-1000</f>
        <v>-100000</v>
      </c>
      <c r="CA22" s="39">
        <f>'Budget First 84 months'!BZ18*-1000</f>
        <v>-100000</v>
      </c>
      <c r="CB22" s="39">
        <f>'Budget First 84 months'!CA18*-1000</f>
        <v>-100000</v>
      </c>
      <c r="CC22" s="39">
        <f>'Budget First 84 months'!CB18*-1000</f>
        <v>-100000</v>
      </c>
      <c r="CD22" s="39">
        <f>'Budget First 84 months'!CC18*-1000</f>
        <v>-100000</v>
      </c>
      <c r="CE22" s="49">
        <f t="shared" si="119"/>
        <v>-1200000</v>
      </c>
      <c r="CF22" s="39">
        <f>'Budget First 84 months'!CE18*-1000</f>
        <v>-100000</v>
      </c>
      <c r="CG22" s="39">
        <f>'Budget First 84 months'!CF18*-1000</f>
        <v>-100000</v>
      </c>
      <c r="CH22" s="39">
        <f>'Budget First 84 months'!CG18*-1000</f>
        <v>-100000</v>
      </c>
      <c r="CI22" s="39">
        <f>'Budget First 84 months'!CH18*-1000</f>
        <v>-100000</v>
      </c>
      <c r="CJ22" s="39">
        <f>'Budget First 84 months'!CI18*-1000</f>
        <v>-100000</v>
      </c>
      <c r="CK22" s="39">
        <f>'Budget First 84 months'!CJ18*-1000</f>
        <v>-100000</v>
      </c>
      <c r="CL22" s="39">
        <f>'Budget First 84 months'!CK18*-1000</f>
        <v>-100000</v>
      </c>
      <c r="CM22" s="39">
        <f>'Budget First 84 months'!CL18*-1000</f>
        <v>-100000</v>
      </c>
      <c r="CN22" s="39">
        <f>'Budget First 84 months'!CM18*-1000</f>
        <v>-100000</v>
      </c>
      <c r="CO22" s="39">
        <f>'Budget First 84 months'!CN18*-1000</f>
        <v>-100000</v>
      </c>
      <c r="CP22" s="39">
        <f>'Budget First 84 months'!CO18*-1000</f>
        <v>-100000</v>
      </c>
      <c r="CQ22" s="39">
        <f>'Budget First 84 months'!CP18*-1000</f>
        <v>-100000</v>
      </c>
      <c r="CR22" s="49">
        <f t="shared" si="120"/>
        <v>-1200000</v>
      </c>
    </row>
    <row r="23" spans="1:96" ht="14.25" customHeight="1" x14ac:dyDescent="0.4">
      <c r="A23" s="71">
        <v>3</v>
      </c>
      <c r="B23" t="s">
        <v>536</v>
      </c>
      <c r="D23" s="89">
        <f t="shared" si="113"/>
        <v>-2810250</v>
      </c>
      <c r="F23" s="38">
        <v>0</v>
      </c>
      <c r="G23" s="38">
        <v>0</v>
      </c>
      <c r="H23" s="38">
        <v>0</v>
      </c>
      <c r="I23" s="38">
        <v>0</v>
      </c>
      <c r="J23" s="38">
        <v>0</v>
      </c>
      <c r="K23" s="38">
        <v>0</v>
      </c>
      <c r="L23" s="38">
        <v>0</v>
      </c>
      <c r="M23" s="38">
        <v>0</v>
      </c>
      <c r="N23" s="38">
        <v>0</v>
      </c>
      <c r="O23" s="38">
        <v>0</v>
      </c>
      <c r="P23" s="38">
        <v>0</v>
      </c>
      <c r="Q23" s="38">
        <v>0</v>
      </c>
      <c r="R23" s="89">
        <f t="shared" si="114"/>
        <v>0</v>
      </c>
      <c r="S23" s="38">
        <v>0</v>
      </c>
      <c r="T23" s="38">
        <v>0</v>
      </c>
      <c r="U23" s="38">
        <v>0</v>
      </c>
      <c r="V23" s="38">
        <v>0</v>
      </c>
      <c r="W23" s="38">
        <v>0</v>
      </c>
      <c r="X23" s="38">
        <f>'Budget First 84 months'!W18*-450</f>
        <v>-15750</v>
      </c>
      <c r="Y23" s="38">
        <f>'Budget First 84 months'!X18*-450</f>
        <v>-18000</v>
      </c>
      <c r="Z23" s="38">
        <f>'Budget First 84 months'!Y18*-450</f>
        <v>-20250</v>
      </c>
      <c r="AA23" s="38">
        <f>'Budget First 84 months'!Z18*-450</f>
        <v>-22500</v>
      </c>
      <c r="AB23" s="38">
        <f>'Budget First 84 months'!AA18*-450</f>
        <v>-24750</v>
      </c>
      <c r="AC23" s="38">
        <f>'Budget First 84 months'!AB18*-450</f>
        <v>-27000</v>
      </c>
      <c r="AD23" s="38">
        <f>'Budget First 84 months'!AC18*-450</f>
        <v>-29250</v>
      </c>
      <c r="AE23" s="89">
        <f t="shared" si="115"/>
        <v>-157500</v>
      </c>
      <c r="AF23" s="38">
        <f>'Budget First 84 months'!AE18*-450</f>
        <v>-31500</v>
      </c>
      <c r="AG23" s="38">
        <f>'Budget First 84 months'!AF18*-450</f>
        <v>-33750</v>
      </c>
      <c r="AH23" s="38">
        <f>'Budget First 84 months'!AG18*-450</f>
        <v>-36000</v>
      </c>
      <c r="AI23" s="38">
        <f>'Budget First 84 months'!AH18*-450</f>
        <v>-38250</v>
      </c>
      <c r="AJ23" s="38">
        <f>'Budget First 84 months'!AI18*-450</f>
        <v>-40500</v>
      </c>
      <c r="AK23" s="38">
        <f>'Budget First 84 months'!AJ18*-450</f>
        <v>-42750</v>
      </c>
      <c r="AL23" s="38">
        <f>'Budget First 84 months'!AK18*-450</f>
        <v>-45000</v>
      </c>
      <c r="AM23" s="38">
        <f>'Budget First 84 months'!AL18*-450</f>
        <v>-45000</v>
      </c>
      <c r="AN23" s="38">
        <f>'Budget First 84 months'!AM18*-450</f>
        <v>-45000</v>
      </c>
      <c r="AO23" s="38">
        <f>'Budget First 84 months'!AN18*-450</f>
        <v>-45000</v>
      </c>
      <c r="AP23" s="38">
        <f>'Budget First 84 months'!AO18*-450</f>
        <v>-45000</v>
      </c>
      <c r="AQ23" s="38">
        <f>'Budget First 84 months'!AP18*-450</f>
        <v>-45000</v>
      </c>
      <c r="AR23" s="89">
        <f t="shared" si="116"/>
        <v>-492750</v>
      </c>
      <c r="AS23" s="38">
        <f>'Budget First 84 months'!AR18*-450</f>
        <v>-45000</v>
      </c>
      <c r="AT23" s="38">
        <f>'Budget First 84 months'!AS18*-450</f>
        <v>-45000</v>
      </c>
      <c r="AU23" s="38">
        <f>'Budget First 84 months'!AT18*-450</f>
        <v>-45000</v>
      </c>
      <c r="AV23" s="38">
        <f>'Budget First 84 months'!AU18*-450</f>
        <v>-45000</v>
      </c>
      <c r="AW23" s="38">
        <f>'Budget First 84 months'!AV18*-450</f>
        <v>-45000</v>
      </c>
      <c r="AX23" s="38">
        <f>'Budget First 84 months'!AW18*-450</f>
        <v>-45000</v>
      </c>
      <c r="AY23" s="38">
        <f>'Budget First 84 months'!AX18*-450</f>
        <v>-45000</v>
      </c>
      <c r="AZ23" s="38">
        <f>'Budget First 84 months'!AY18*-450</f>
        <v>-45000</v>
      </c>
      <c r="BA23" s="38">
        <f>'Budget First 84 months'!AZ18*-450</f>
        <v>-45000</v>
      </c>
      <c r="BB23" s="38">
        <f>'Budget First 84 months'!BA18*-450</f>
        <v>-45000</v>
      </c>
      <c r="BC23" s="38">
        <f>'Budget First 84 months'!BB18*-450</f>
        <v>-45000</v>
      </c>
      <c r="BD23" s="38">
        <f>'Budget First 84 months'!BC18*-450</f>
        <v>-45000</v>
      </c>
      <c r="BE23" s="89">
        <f t="shared" si="117"/>
        <v>-540000</v>
      </c>
      <c r="BF23" s="38">
        <f>'Budget First 84 months'!BE18*-450</f>
        <v>-45000</v>
      </c>
      <c r="BG23" s="38">
        <f>'Budget First 84 months'!BF18*-450</f>
        <v>-45000</v>
      </c>
      <c r="BH23" s="38">
        <f>'Budget First 84 months'!BG18*-450</f>
        <v>-45000</v>
      </c>
      <c r="BI23" s="38">
        <f>'Budget First 84 months'!BH18*-450</f>
        <v>-45000</v>
      </c>
      <c r="BJ23" s="38">
        <f>'Budget First 84 months'!BI18*-450</f>
        <v>-45000</v>
      </c>
      <c r="BK23" s="38">
        <f>'Budget First 84 months'!BJ18*-450</f>
        <v>-45000</v>
      </c>
      <c r="BL23" s="38">
        <f>'Budget First 84 months'!BK18*-450</f>
        <v>-45000</v>
      </c>
      <c r="BM23" s="38">
        <f>'Budget First 84 months'!BL18*-450</f>
        <v>-45000</v>
      </c>
      <c r="BN23" s="38">
        <f>'Budget First 84 months'!BM18*-450</f>
        <v>-45000</v>
      </c>
      <c r="BO23" s="38">
        <f>'Budget First 84 months'!BN18*-450</f>
        <v>-45000</v>
      </c>
      <c r="BP23" s="38">
        <f>'Budget First 84 months'!BO18*-450</f>
        <v>-45000</v>
      </c>
      <c r="BQ23" s="38">
        <f>'Budget First 84 months'!BP18*-450</f>
        <v>-45000</v>
      </c>
      <c r="BR23" s="89">
        <f t="shared" si="118"/>
        <v>-540000</v>
      </c>
      <c r="BS23" s="38">
        <f>'Budget First 84 months'!BR18*-450</f>
        <v>-45000</v>
      </c>
      <c r="BT23" s="38">
        <f>'Budget First 84 months'!BS18*-450</f>
        <v>-45000</v>
      </c>
      <c r="BU23" s="38">
        <f>'Budget First 84 months'!BT18*-450</f>
        <v>-45000</v>
      </c>
      <c r="BV23" s="38">
        <f>'Budget First 84 months'!BU18*-450</f>
        <v>-45000</v>
      </c>
      <c r="BW23" s="38">
        <f>'Budget First 84 months'!BV18*-450</f>
        <v>-45000</v>
      </c>
      <c r="BX23" s="38">
        <f>'Budget First 84 months'!BW18*-450</f>
        <v>-45000</v>
      </c>
      <c r="BY23" s="38">
        <f>'Budget First 84 months'!BX18*-450</f>
        <v>-45000</v>
      </c>
      <c r="BZ23" s="38">
        <f>'Budget First 84 months'!BY18*-450</f>
        <v>-45000</v>
      </c>
      <c r="CA23" s="38">
        <f>'Budget First 84 months'!BZ18*-450</f>
        <v>-45000</v>
      </c>
      <c r="CB23" s="38">
        <f>'Budget First 84 months'!CA18*-450</f>
        <v>-45000</v>
      </c>
      <c r="CC23" s="38">
        <f>'Budget First 84 months'!CB18*-450</f>
        <v>-45000</v>
      </c>
      <c r="CD23" s="38">
        <f>'Budget First 84 months'!CC18*-450</f>
        <v>-45000</v>
      </c>
      <c r="CE23" s="89">
        <f t="shared" si="119"/>
        <v>-540000</v>
      </c>
      <c r="CF23" s="38">
        <f>'Budget First 84 months'!CE18*-450</f>
        <v>-45000</v>
      </c>
      <c r="CG23" s="38">
        <f>'Budget First 84 months'!CF18*-450</f>
        <v>-45000</v>
      </c>
      <c r="CH23" s="38">
        <f>'Budget First 84 months'!CG18*-450</f>
        <v>-45000</v>
      </c>
      <c r="CI23" s="38">
        <f>'Budget First 84 months'!CH18*-450</f>
        <v>-45000</v>
      </c>
      <c r="CJ23" s="38">
        <f>'Budget First 84 months'!CI18*-450</f>
        <v>-45000</v>
      </c>
      <c r="CK23" s="38">
        <f>'Budget First 84 months'!CJ18*-450</f>
        <v>-45000</v>
      </c>
      <c r="CL23" s="38">
        <f>'Budget First 84 months'!CK18*-450</f>
        <v>-45000</v>
      </c>
      <c r="CM23" s="38">
        <f>'Budget First 84 months'!CL18*-450</f>
        <v>-45000</v>
      </c>
      <c r="CN23" s="38">
        <f>'Budget First 84 months'!CM18*-450</f>
        <v>-45000</v>
      </c>
      <c r="CO23" s="38">
        <f>'Budget First 84 months'!CN18*-450</f>
        <v>-45000</v>
      </c>
      <c r="CP23" s="38">
        <f>'Budget First 84 months'!CO18*-450</f>
        <v>-45000</v>
      </c>
      <c r="CQ23" s="38">
        <f>'Budget First 84 months'!CP18*-450</f>
        <v>-45000</v>
      </c>
      <c r="CR23" s="89">
        <f t="shared" si="120"/>
        <v>-540000</v>
      </c>
    </row>
    <row r="24" spans="1:96" ht="14.25" customHeight="1" x14ac:dyDescent="0.4">
      <c r="A24" s="71">
        <v>4</v>
      </c>
      <c r="B24" t="s">
        <v>537</v>
      </c>
      <c r="D24" s="89">
        <f t="shared" si="113"/>
        <v>-6379000</v>
      </c>
      <c r="F24" s="38">
        <v>0</v>
      </c>
      <c r="G24" s="38">
        <v>0</v>
      </c>
      <c r="H24" s="38">
        <v>0</v>
      </c>
      <c r="I24" s="38">
        <v>0</v>
      </c>
      <c r="J24" s="38">
        <v>0</v>
      </c>
      <c r="K24" s="38">
        <v>0</v>
      </c>
      <c r="L24" s="38">
        <f>-'Budget First 84 months'!K18*(1250*0.8)</f>
        <v>-2000</v>
      </c>
      <c r="M24" s="38">
        <f>-'Budget First 84 months'!L18*(1250*0.8)</f>
        <v>-2000</v>
      </c>
      <c r="N24" s="38">
        <f>-'Budget First 84 months'!M18*(1250*0.8)</f>
        <v>-5000</v>
      </c>
      <c r="O24" s="38">
        <f>-'Budget First 84 months'!N18*(1250*0.8)</f>
        <v>-5000</v>
      </c>
      <c r="P24" s="38">
        <f>-'Budget First 84 months'!O18*(1250*0.8)</f>
        <v>-10000</v>
      </c>
      <c r="Q24" s="38">
        <f>-'Budget First 84 months'!P18*(1250*0.8)</f>
        <v>-10000</v>
      </c>
      <c r="R24" s="89">
        <f>SUM(F24:P24)</f>
        <v>-24000</v>
      </c>
      <c r="S24" s="38">
        <f>-'Budget First 84 months'!R18*(1250*0.8)</f>
        <v>-10000</v>
      </c>
      <c r="T24" s="38">
        <f>-'Budget First 84 months'!S18*(1250*0.8)</f>
        <v>-15000</v>
      </c>
      <c r="U24" s="38">
        <f>-'Budget First 84 months'!T18*(1250*0.8)</f>
        <v>-20000</v>
      </c>
      <c r="V24" s="38">
        <f>-'Budget First 84 months'!U18*(1250*0.8)</f>
        <v>-25000</v>
      </c>
      <c r="W24" s="38">
        <f>-'Budget First 84 months'!V18*(1250*0.8)</f>
        <v>-30000</v>
      </c>
      <c r="X24" s="38">
        <f>-'Budget First 84 months'!W18*(1250*0.8)</f>
        <v>-35000</v>
      </c>
      <c r="Y24" s="38">
        <f>-'Budget First 84 months'!X18*(1250*0.8)</f>
        <v>-40000</v>
      </c>
      <c r="Z24" s="38">
        <f>-'Budget First 84 months'!Y18*(1250*0.8)</f>
        <v>-45000</v>
      </c>
      <c r="AA24" s="38">
        <f>-'Budget First 84 months'!Z18*(1250*0.8)</f>
        <v>-50000</v>
      </c>
      <c r="AB24" s="38">
        <f>-'Budget First 84 months'!AA18*(1250*0.8)</f>
        <v>-55000</v>
      </c>
      <c r="AC24" s="38">
        <f>-'Budget First 84 months'!AB18*(1250*0.8)</f>
        <v>-60000</v>
      </c>
      <c r="AD24" s="38">
        <f>-'Budget First 84 months'!AC18*(1250*0.8)</f>
        <v>-65000</v>
      </c>
      <c r="AE24" s="89">
        <f t="shared" si="115"/>
        <v>-450000</v>
      </c>
      <c r="AF24" s="38">
        <f>-'Budget First 84 months'!AE18*(1250*0.8)</f>
        <v>-70000</v>
      </c>
      <c r="AG24" s="38">
        <f>-'Budget First 84 months'!AF18*(1250*0.8)</f>
        <v>-75000</v>
      </c>
      <c r="AH24" s="38">
        <f>-'Budget First 84 months'!AG18*(1250*0.8)</f>
        <v>-80000</v>
      </c>
      <c r="AI24" s="38">
        <f>-'Budget First 84 months'!AH18*(1250*0.8)</f>
        <v>-85000</v>
      </c>
      <c r="AJ24" s="38">
        <f>-'Budget First 84 months'!AI18*(1250*0.8)</f>
        <v>-90000</v>
      </c>
      <c r="AK24" s="38">
        <f>-'Budget First 84 months'!AJ18*(1250*0.8)</f>
        <v>-95000</v>
      </c>
      <c r="AL24" s="38">
        <f>-'Budget First 84 months'!AK18*(1250*0.8)</f>
        <v>-100000</v>
      </c>
      <c r="AM24" s="38">
        <f>-'Budget First 84 months'!AL18*(1250*0.8)</f>
        <v>-100000</v>
      </c>
      <c r="AN24" s="38">
        <f>-'Budget First 84 months'!AM18*(1250*0.8)</f>
        <v>-100000</v>
      </c>
      <c r="AO24" s="38">
        <f>-'Budget First 84 months'!AN18*(1250*0.8)</f>
        <v>-100000</v>
      </c>
      <c r="AP24" s="38">
        <f>-'Budget First 84 months'!AO18*(1250*0.8)</f>
        <v>-100000</v>
      </c>
      <c r="AQ24" s="38">
        <f>-'Budget First 84 months'!AP18*(1250*0.8)</f>
        <v>-100000</v>
      </c>
      <c r="AR24" s="89">
        <f t="shared" si="116"/>
        <v>-1095000</v>
      </c>
      <c r="AS24" s="38">
        <f>-'Budget First 84 months'!AR18*(1250*0.8)</f>
        <v>-100000</v>
      </c>
      <c r="AT24" s="38">
        <f>-'Budget First 84 months'!AS18*(1250*0.8)</f>
        <v>-100000</v>
      </c>
      <c r="AU24" s="38">
        <f>-'Budget First 84 months'!AT18*(1250*0.8)</f>
        <v>-100000</v>
      </c>
      <c r="AV24" s="38">
        <f>-'Budget First 84 months'!AU18*(1250*0.8)</f>
        <v>-100000</v>
      </c>
      <c r="AW24" s="38">
        <f>-'Budget First 84 months'!AV18*(1250*0.8)</f>
        <v>-100000</v>
      </c>
      <c r="AX24" s="38">
        <f>-'Budget First 84 months'!AW18*(1250*0.8)</f>
        <v>-100000</v>
      </c>
      <c r="AY24" s="38">
        <f>-'Budget First 84 months'!AX18*(1250*0.8)</f>
        <v>-100000</v>
      </c>
      <c r="AZ24" s="38">
        <f>-'Budget First 84 months'!AY18*(1250*0.8)</f>
        <v>-100000</v>
      </c>
      <c r="BA24" s="38">
        <f>-'Budget First 84 months'!AZ18*(1250*0.8)</f>
        <v>-100000</v>
      </c>
      <c r="BB24" s="38">
        <f>-'Budget First 84 months'!BA18*(1250*0.8)</f>
        <v>-100000</v>
      </c>
      <c r="BC24" s="38">
        <f>-'Budget First 84 months'!BB18*(1250*0.8)</f>
        <v>-100000</v>
      </c>
      <c r="BD24" s="38">
        <f>-'Budget First 84 months'!BC18*(1250*0.8)</f>
        <v>-100000</v>
      </c>
      <c r="BE24" s="89">
        <f t="shared" si="117"/>
        <v>-1200000</v>
      </c>
      <c r="BF24" s="38">
        <f>-'Budget First 84 months'!BE18*(1250*0.8)</f>
        <v>-100000</v>
      </c>
      <c r="BG24" s="38">
        <f>-'Budget First 84 months'!BF18*(1250*0.8)</f>
        <v>-100000</v>
      </c>
      <c r="BH24" s="38">
        <f>-'Budget First 84 months'!BG18*(1250*0.8)</f>
        <v>-100000</v>
      </c>
      <c r="BI24" s="38">
        <f>-'Budget First 84 months'!BH18*(1250*0.8)</f>
        <v>-100000</v>
      </c>
      <c r="BJ24" s="38">
        <f>-'Budget First 84 months'!BI18*(1250*0.8)</f>
        <v>-100000</v>
      </c>
      <c r="BK24" s="38">
        <f>-'Budget First 84 months'!BJ18*(1250*0.8)</f>
        <v>-100000</v>
      </c>
      <c r="BL24" s="38">
        <f>-'Budget First 84 months'!BK18*(1250*0.8)</f>
        <v>-100000</v>
      </c>
      <c r="BM24" s="38">
        <f>-'Budget First 84 months'!BL18*(1250*0.8)</f>
        <v>-100000</v>
      </c>
      <c r="BN24" s="38">
        <f>-'Budget First 84 months'!BM18*(1250*0.8)</f>
        <v>-100000</v>
      </c>
      <c r="BO24" s="38">
        <f>-'Budget First 84 months'!BN18*(1250*0.8)</f>
        <v>-100000</v>
      </c>
      <c r="BP24" s="38">
        <f>-'Budget First 84 months'!BO18*(1250*0.8)</f>
        <v>-100000</v>
      </c>
      <c r="BQ24" s="38">
        <f>-'Budget First 84 months'!BP18*(1250*0.8)</f>
        <v>-100000</v>
      </c>
      <c r="BR24" s="89">
        <f t="shared" si="118"/>
        <v>-1200000</v>
      </c>
      <c r="BS24" s="38">
        <f>-'Budget First 84 months'!BR18*(1250*0.8)</f>
        <v>-100000</v>
      </c>
      <c r="BT24" s="38">
        <f>-'Budget First 84 months'!BS18*(1250*0.8)</f>
        <v>-100000</v>
      </c>
      <c r="BU24" s="38">
        <f>-'Budget First 84 months'!BT18*(1250*0.8)</f>
        <v>-100000</v>
      </c>
      <c r="BV24" s="38">
        <f>-'Budget First 84 months'!BU18*(1250*0.8)</f>
        <v>-100000</v>
      </c>
      <c r="BW24" s="38">
        <f>-'Budget First 84 months'!BV18*(1250*0.8)</f>
        <v>-100000</v>
      </c>
      <c r="BX24" s="38">
        <f>-'Budget First 84 months'!BW18*(1250*0.8)</f>
        <v>-100000</v>
      </c>
      <c r="BY24" s="38">
        <f>-'Budget First 84 months'!BX18*(1250*0.8)</f>
        <v>-100000</v>
      </c>
      <c r="BZ24" s="38">
        <f>-'Budget First 84 months'!BY18*(1250*0.8)</f>
        <v>-100000</v>
      </c>
      <c r="CA24" s="38">
        <f>-'Budget First 84 months'!BZ18*(1250*0.8)</f>
        <v>-100000</v>
      </c>
      <c r="CB24" s="38">
        <f>-'Budget First 84 months'!CA18*(1250*0.8)</f>
        <v>-100000</v>
      </c>
      <c r="CC24" s="38">
        <f>-'Budget First 84 months'!CB18*(1250*0.8)</f>
        <v>-100000</v>
      </c>
      <c r="CD24" s="38">
        <f>-'Budget First 84 months'!CC18*(1250*0.8)</f>
        <v>-100000</v>
      </c>
      <c r="CE24" s="89">
        <f t="shared" si="119"/>
        <v>-1200000</v>
      </c>
      <c r="CF24" s="38">
        <f>-'Budget First 84 months'!CE18*(1250*0.8)</f>
        <v>-100000</v>
      </c>
      <c r="CG24" s="38">
        <f>-'Budget First 84 months'!CF18*(1250*0.8)</f>
        <v>-100000</v>
      </c>
      <c r="CH24" s="38">
        <f>-'Budget First 84 months'!CG18*(1250*0.8)</f>
        <v>-100000</v>
      </c>
      <c r="CI24" s="38">
        <f>-'Budget First 84 months'!CH18*(1250*0.8)</f>
        <v>-100000</v>
      </c>
      <c r="CJ24" s="38">
        <f>-'Budget First 84 months'!CI18*(1250*0.8)</f>
        <v>-100000</v>
      </c>
      <c r="CK24" s="38">
        <f>-'Budget First 84 months'!CJ18*(1250*0.8)</f>
        <v>-100000</v>
      </c>
      <c r="CL24" s="38">
        <f>-'Budget First 84 months'!CK18*(1250*0.8)</f>
        <v>-100000</v>
      </c>
      <c r="CM24" s="38">
        <f>-'Budget First 84 months'!CL18*(1250*0.8)</f>
        <v>-100000</v>
      </c>
      <c r="CN24" s="38">
        <f>-'Budget First 84 months'!CM18*(1250*0.8)</f>
        <v>-100000</v>
      </c>
      <c r="CO24" s="38">
        <f>-'Budget First 84 months'!CN18*(1250*0.8)</f>
        <v>-100000</v>
      </c>
      <c r="CP24" s="38">
        <f>-'Budget First 84 months'!CO18*(1250*0.8)</f>
        <v>-100000</v>
      </c>
      <c r="CQ24" s="38">
        <f>-'Budget First 84 months'!CP18*(1250*0.8)</f>
        <v>-100000</v>
      </c>
      <c r="CR24" s="89">
        <f t="shared" si="120"/>
        <v>-1200000</v>
      </c>
    </row>
    <row r="25" spans="1:96" ht="14.25" customHeight="1" thickBot="1" x14ac:dyDescent="0.45">
      <c r="A25" s="71"/>
      <c r="B25" t="s">
        <v>538</v>
      </c>
      <c r="D25" s="113">
        <f t="shared" si="113"/>
        <v>-100800</v>
      </c>
      <c r="E25" s="109"/>
      <c r="F25" s="112">
        <v>-1200</v>
      </c>
      <c r="G25" s="112">
        <v>-1200</v>
      </c>
      <c r="H25" s="112">
        <v>-1200</v>
      </c>
      <c r="I25" s="112">
        <v>-1200</v>
      </c>
      <c r="J25" s="112">
        <v>-1200</v>
      </c>
      <c r="K25" s="112">
        <v>-1200</v>
      </c>
      <c r="L25" s="112">
        <v>-1200</v>
      </c>
      <c r="M25" s="112">
        <v>-1200</v>
      </c>
      <c r="N25" s="112">
        <v>-1200</v>
      </c>
      <c r="O25" s="112">
        <v>-1200</v>
      </c>
      <c r="P25" s="112">
        <v>-1200</v>
      </c>
      <c r="Q25" s="112">
        <v>-1200</v>
      </c>
      <c r="R25" s="113">
        <f t="shared" si="114"/>
        <v>-14400</v>
      </c>
      <c r="S25" s="112">
        <v>-1200</v>
      </c>
      <c r="T25" s="112">
        <v>-1200</v>
      </c>
      <c r="U25" s="112">
        <v>-1200</v>
      </c>
      <c r="V25" s="112">
        <v>-1200</v>
      </c>
      <c r="W25" s="112">
        <v>-1200</v>
      </c>
      <c r="X25" s="112">
        <v>-1200</v>
      </c>
      <c r="Y25" s="112">
        <v>-1200</v>
      </c>
      <c r="Z25" s="112">
        <v>-1200</v>
      </c>
      <c r="AA25" s="112">
        <v>-1200</v>
      </c>
      <c r="AB25" s="112">
        <v>-1200</v>
      </c>
      <c r="AC25" s="112">
        <v>-1200</v>
      </c>
      <c r="AD25" s="112">
        <v>-1200</v>
      </c>
      <c r="AE25" s="113">
        <f t="shared" si="115"/>
        <v>-14400</v>
      </c>
      <c r="AF25" s="112">
        <v>-1200</v>
      </c>
      <c r="AG25" s="112">
        <v>-1200</v>
      </c>
      <c r="AH25" s="112">
        <v>-1200</v>
      </c>
      <c r="AI25" s="112">
        <v>-1200</v>
      </c>
      <c r="AJ25" s="112">
        <v>-1200</v>
      </c>
      <c r="AK25" s="112">
        <v>-1200</v>
      </c>
      <c r="AL25" s="112">
        <v>-1200</v>
      </c>
      <c r="AM25" s="112">
        <v>-1200</v>
      </c>
      <c r="AN25" s="112">
        <v>-1200</v>
      </c>
      <c r="AO25" s="112">
        <v>-1200</v>
      </c>
      <c r="AP25" s="112">
        <v>-1200</v>
      </c>
      <c r="AQ25" s="112">
        <v>-1200</v>
      </c>
      <c r="AR25" s="113">
        <f t="shared" si="116"/>
        <v>-14400</v>
      </c>
      <c r="AS25" s="112">
        <v>-1200</v>
      </c>
      <c r="AT25" s="112">
        <v>-1200</v>
      </c>
      <c r="AU25" s="112">
        <v>-1200</v>
      </c>
      <c r="AV25" s="112">
        <v>-1200</v>
      </c>
      <c r="AW25" s="112">
        <v>-1200</v>
      </c>
      <c r="AX25" s="112">
        <v>-1200</v>
      </c>
      <c r="AY25" s="112">
        <v>-1200</v>
      </c>
      <c r="AZ25" s="112">
        <v>-1200</v>
      </c>
      <c r="BA25" s="112">
        <v>-1200</v>
      </c>
      <c r="BB25" s="112">
        <v>-1200</v>
      </c>
      <c r="BC25" s="112">
        <v>-1200</v>
      </c>
      <c r="BD25" s="112">
        <v>-1200</v>
      </c>
      <c r="BE25" s="113">
        <f t="shared" si="117"/>
        <v>-14400</v>
      </c>
      <c r="BF25" s="112">
        <v>-1200</v>
      </c>
      <c r="BG25" s="112">
        <v>-1200</v>
      </c>
      <c r="BH25" s="112">
        <v>-1200</v>
      </c>
      <c r="BI25" s="112">
        <v>-1200</v>
      </c>
      <c r="BJ25" s="112">
        <v>-1200</v>
      </c>
      <c r="BK25" s="112">
        <v>-1200</v>
      </c>
      <c r="BL25" s="112">
        <v>-1200</v>
      </c>
      <c r="BM25" s="112">
        <v>-1200</v>
      </c>
      <c r="BN25" s="112">
        <v>-1200</v>
      </c>
      <c r="BO25" s="112">
        <v>-1200</v>
      </c>
      <c r="BP25" s="112">
        <v>-1200</v>
      </c>
      <c r="BQ25" s="112">
        <v>-1200</v>
      </c>
      <c r="BR25" s="113">
        <f t="shared" si="118"/>
        <v>-14400</v>
      </c>
      <c r="BS25" s="112">
        <v>-1200</v>
      </c>
      <c r="BT25" s="112">
        <v>-1200</v>
      </c>
      <c r="BU25" s="112">
        <v>-1200</v>
      </c>
      <c r="BV25" s="112">
        <v>-1200</v>
      </c>
      <c r="BW25" s="112">
        <v>-1200</v>
      </c>
      <c r="BX25" s="112">
        <v>-1200</v>
      </c>
      <c r="BY25" s="112">
        <v>-1200</v>
      </c>
      <c r="BZ25" s="112">
        <v>-1200</v>
      </c>
      <c r="CA25" s="112">
        <v>-1200</v>
      </c>
      <c r="CB25" s="112">
        <v>-1200</v>
      </c>
      <c r="CC25" s="112">
        <v>-1200</v>
      </c>
      <c r="CD25" s="112">
        <v>-1200</v>
      </c>
      <c r="CE25" s="113">
        <f t="shared" si="119"/>
        <v>-14400</v>
      </c>
      <c r="CF25" s="112">
        <v>-1200</v>
      </c>
      <c r="CG25" s="112">
        <v>-1200</v>
      </c>
      <c r="CH25" s="112">
        <v>-1200</v>
      </c>
      <c r="CI25" s="112">
        <v>-1200</v>
      </c>
      <c r="CJ25" s="112">
        <v>-1200</v>
      </c>
      <c r="CK25" s="112">
        <v>-1200</v>
      </c>
      <c r="CL25" s="112">
        <v>-1200</v>
      </c>
      <c r="CM25" s="112">
        <v>-1200</v>
      </c>
      <c r="CN25" s="112">
        <v>-1200</v>
      </c>
      <c r="CO25" s="112">
        <v>-1200</v>
      </c>
      <c r="CP25" s="112">
        <v>-1200</v>
      </c>
      <c r="CQ25" s="112">
        <v>-1200</v>
      </c>
      <c r="CR25" s="113">
        <f t="shared" si="120"/>
        <v>-14400</v>
      </c>
    </row>
    <row r="26" spans="1:96" ht="14.25" customHeight="1" x14ac:dyDescent="0.4">
      <c r="A26" s="71"/>
      <c r="B26" s="24" t="s">
        <v>507</v>
      </c>
      <c r="C26" s="24"/>
      <c r="D26" s="49">
        <f>SUM(D18:D25)</f>
        <v>-34986428.567249984</v>
      </c>
      <c r="E26" s="49"/>
      <c r="F26" s="49">
        <f t="shared" ref="F26:CR26" si="135">SUM(F18:F25)</f>
        <v>-229738.41666666666</v>
      </c>
      <c r="G26" s="49">
        <f t="shared" si="135"/>
        <v>-199738.41666666666</v>
      </c>
      <c r="H26" s="49">
        <f t="shared" si="135"/>
        <v>-229738.41666666666</v>
      </c>
      <c r="I26" s="49">
        <f t="shared" si="135"/>
        <v>-199738.41666666666</v>
      </c>
      <c r="J26" s="49">
        <f t="shared" si="135"/>
        <v>-239738.41666666666</v>
      </c>
      <c r="K26" s="49">
        <f t="shared" si="135"/>
        <v>-199738.41666666666</v>
      </c>
      <c r="L26" s="49">
        <f t="shared" si="135"/>
        <v>-203738.41666666666</v>
      </c>
      <c r="M26" s="49">
        <f t="shared" si="135"/>
        <v>-203738.41666666666</v>
      </c>
      <c r="N26" s="49">
        <f t="shared" si="135"/>
        <v>-209738.41666666666</v>
      </c>
      <c r="O26" s="49">
        <f t="shared" si="135"/>
        <v>-209738.41666666666</v>
      </c>
      <c r="P26" s="49">
        <f t="shared" si="135"/>
        <v>-219738.41666666666</v>
      </c>
      <c r="Q26" s="49">
        <f t="shared" si="135"/>
        <v>-219738.41666666666</v>
      </c>
      <c r="R26" s="49">
        <f t="shared" si="135"/>
        <v>-2554861</v>
      </c>
      <c r="S26" s="49">
        <f t="shared" si="135"/>
        <v>-242679.95333333331</v>
      </c>
      <c r="T26" s="49">
        <f t="shared" si="135"/>
        <v>-237679.95333333331</v>
      </c>
      <c r="U26" s="49">
        <f t="shared" si="135"/>
        <v>-247679.95333333331</v>
      </c>
      <c r="V26" s="49">
        <f t="shared" si="135"/>
        <v>-267679.95333333331</v>
      </c>
      <c r="W26" s="49">
        <f t="shared" si="135"/>
        <v>-267679.95333333331</v>
      </c>
      <c r="X26" s="49">
        <f t="shared" si="135"/>
        <v>-293429.95333333331</v>
      </c>
      <c r="Y26" s="49">
        <f t="shared" si="135"/>
        <v>-315679.95333333331</v>
      </c>
      <c r="Z26" s="49">
        <f t="shared" si="135"/>
        <v>-317929.95333333331</v>
      </c>
      <c r="AA26" s="49">
        <f t="shared" si="135"/>
        <v>-330179.95333333331</v>
      </c>
      <c r="AB26" s="49">
        <f t="shared" si="135"/>
        <v>-357429.95333333331</v>
      </c>
      <c r="AC26" s="49">
        <f t="shared" si="135"/>
        <v>-354679.95333333331</v>
      </c>
      <c r="AD26" s="49">
        <f t="shared" si="135"/>
        <v>-366929.95333333331</v>
      </c>
      <c r="AE26" s="49">
        <f t="shared" si="135"/>
        <v>-3599659.44</v>
      </c>
      <c r="AF26" s="49">
        <f t="shared" si="135"/>
        <v>-407439.15146666666</v>
      </c>
      <c r="AG26" s="49">
        <f t="shared" si="135"/>
        <v>-399689.15146666666</v>
      </c>
      <c r="AH26" s="49">
        <f t="shared" si="135"/>
        <v>-411939.15146666666</v>
      </c>
      <c r="AI26" s="49">
        <f t="shared" si="135"/>
        <v>-439189.15146666666</v>
      </c>
      <c r="AJ26" s="49">
        <f t="shared" si="135"/>
        <v>-436439.15146666666</v>
      </c>
      <c r="AK26" s="49">
        <f t="shared" si="135"/>
        <v>-448689.15146666666</v>
      </c>
      <c r="AL26" s="49">
        <f t="shared" si="135"/>
        <v>-475939.15146666666</v>
      </c>
      <c r="AM26" s="49">
        <f t="shared" si="135"/>
        <v>-460939.15146666666</v>
      </c>
      <c r="AN26" s="49">
        <f t="shared" si="135"/>
        <v>-460939.15146666666</v>
      </c>
      <c r="AO26" s="49">
        <f t="shared" si="135"/>
        <v>-480939.15146666666</v>
      </c>
      <c r="AP26" s="49">
        <f t="shared" si="135"/>
        <v>-460939.15146666666</v>
      </c>
      <c r="AQ26" s="49">
        <f t="shared" si="135"/>
        <v>-460939.15146666666</v>
      </c>
      <c r="AR26" s="49">
        <f t="shared" si="135"/>
        <v>-5344019.8175999997</v>
      </c>
      <c r="AS26" s="49">
        <f t="shared" si="135"/>
        <v>-489528.71752533328</v>
      </c>
      <c r="AT26" s="49">
        <f t="shared" si="135"/>
        <v>-469528.71752533328</v>
      </c>
      <c r="AU26" s="49">
        <f t="shared" si="135"/>
        <v>-469528.71752533328</v>
      </c>
      <c r="AV26" s="49">
        <f t="shared" si="135"/>
        <v>-484528.71752533328</v>
      </c>
      <c r="AW26" s="49">
        <f t="shared" si="135"/>
        <v>-469528.71752533328</v>
      </c>
      <c r="AX26" s="49">
        <f t="shared" si="135"/>
        <v>-469528.71752533328</v>
      </c>
      <c r="AY26" s="49">
        <f t="shared" si="135"/>
        <v>-484528.71752533328</v>
      </c>
      <c r="AZ26" s="49">
        <f t="shared" si="135"/>
        <v>-469528.71752533328</v>
      </c>
      <c r="BA26" s="49">
        <f t="shared" si="135"/>
        <v>-469528.71752533328</v>
      </c>
      <c r="BB26" s="49">
        <f t="shared" si="135"/>
        <v>-489528.71752533328</v>
      </c>
      <c r="BC26" s="49">
        <f t="shared" si="135"/>
        <v>-469528.71752533328</v>
      </c>
      <c r="BD26" s="49">
        <f t="shared" si="135"/>
        <v>-469528.71752533328</v>
      </c>
      <c r="BE26" s="49">
        <f t="shared" si="135"/>
        <v>-5704344.6103039999</v>
      </c>
      <c r="BF26" s="49">
        <f t="shared" si="135"/>
        <v>-498461.8662263467</v>
      </c>
      <c r="BG26" s="49">
        <f t="shared" si="135"/>
        <v>-478461.8662263467</v>
      </c>
      <c r="BH26" s="49">
        <f t="shared" si="135"/>
        <v>-478461.8662263467</v>
      </c>
      <c r="BI26" s="49">
        <f t="shared" si="135"/>
        <v>-493461.8662263467</v>
      </c>
      <c r="BJ26" s="49">
        <f t="shared" si="135"/>
        <v>-478461.8662263467</v>
      </c>
      <c r="BK26" s="49">
        <f t="shared" si="135"/>
        <v>-478461.8662263467</v>
      </c>
      <c r="BL26" s="49">
        <f t="shared" si="135"/>
        <v>-493461.8662263467</v>
      </c>
      <c r="BM26" s="49">
        <f t="shared" si="135"/>
        <v>-478461.8662263467</v>
      </c>
      <c r="BN26" s="49">
        <f t="shared" si="135"/>
        <v>-478461.8662263467</v>
      </c>
      <c r="BO26" s="49">
        <f t="shared" si="135"/>
        <v>-498461.8662263467</v>
      </c>
      <c r="BP26" s="49">
        <f t="shared" si="135"/>
        <v>-478461.8662263467</v>
      </c>
      <c r="BQ26" s="49">
        <f t="shared" si="135"/>
        <v>-478461.8662263467</v>
      </c>
      <c r="BR26" s="49">
        <f t="shared" si="135"/>
        <v>-5811542.3947161604</v>
      </c>
      <c r="BS26" s="49">
        <f t="shared" si="135"/>
        <v>-507752.34087540058</v>
      </c>
      <c r="BT26" s="49">
        <f t="shared" si="135"/>
        <v>-487752.34087540058</v>
      </c>
      <c r="BU26" s="49">
        <f t="shared" si="135"/>
        <v>-487752.34087540058</v>
      </c>
      <c r="BV26" s="49">
        <f t="shared" si="135"/>
        <v>-502752.34087540058</v>
      </c>
      <c r="BW26" s="49">
        <f t="shared" si="135"/>
        <v>-487752.34087540058</v>
      </c>
      <c r="BX26" s="49">
        <f t="shared" si="135"/>
        <v>-487752.34087540058</v>
      </c>
      <c r="BY26" s="49">
        <f t="shared" si="135"/>
        <v>-502752.34087540058</v>
      </c>
      <c r="BZ26" s="49">
        <f t="shared" si="135"/>
        <v>-487752.34087540058</v>
      </c>
      <c r="CA26" s="49">
        <f t="shared" si="135"/>
        <v>-487752.34087540058</v>
      </c>
      <c r="CB26" s="49">
        <f t="shared" si="135"/>
        <v>-507752.34087540058</v>
      </c>
      <c r="CC26" s="49">
        <f t="shared" si="135"/>
        <v>-487752.34087540058</v>
      </c>
      <c r="CD26" s="49">
        <f t="shared" si="135"/>
        <v>-487752.34087540058</v>
      </c>
      <c r="CE26" s="49">
        <f t="shared" si="135"/>
        <v>-5923028.0905048065</v>
      </c>
      <c r="CF26" s="49">
        <f t="shared" si="135"/>
        <v>-517414.43451041653</v>
      </c>
      <c r="CG26" s="49">
        <f t="shared" si="135"/>
        <v>-497414.43451041658</v>
      </c>
      <c r="CH26" s="49">
        <f t="shared" si="135"/>
        <v>-497414.43451041658</v>
      </c>
      <c r="CI26" s="49">
        <f t="shared" si="135"/>
        <v>-512414.43451041658</v>
      </c>
      <c r="CJ26" s="49">
        <f t="shared" si="135"/>
        <v>-497414.43451041658</v>
      </c>
      <c r="CK26" s="49">
        <f t="shared" si="135"/>
        <v>-497414.43451041658</v>
      </c>
      <c r="CL26" s="49">
        <f t="shared" si="135"/>
        <v>-512414.43451041658</v>
      </c>
      <c r="CM26" s="49">
        <f t="shared" si="135"/>
        <v>-497414.43451041658</v>
      </c>
      <c r="CN26" s="49">
        <f t="shared" si="135"/>
        <v>-497414.43451041658</v>
      </c>
      <c r="CO26" s="49">
        <f t="shared" si="135"/>
        <v>-517414.43451041653</v>
      </c>
      <c r="CP26" s="49">
        <f t="shared" si="135"/>
        <v>-497414.43451041658</v>
      </c>
      <c r="CQ26" s="49">
        <f t="shared" si="135"/>
        <v>-497414.43451041658</v>
      </c>
      <c r="CR26" s="49">
        <f t="shared" si="135"/>
        <v>-6038973.2141249981</v>
      </c>
    </row>
    <row r="27" spans="1:96" ht="14.25" customHeight="1" x14ac:dyDescent="0.4">
      <c r="A27" s="71"/>
      <c r="B27" s="24"/>
      <c r="C27" s="24"/>
      <c r="D27" s="49"/>
      <c r="E27" s="49"/>
      <c r="F27" s="49"/>
      <c r="G27" s="49"/>
      <c r="H27" s="49"/>
      <c r="I27" s="49"/>
      <c r="J27" s="49"/>
      <c r="K27" s="49"/>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row>
    <row r="28" spans="1:96" ht="14.25" customHeight="1" x14ac:dyDescent="0.4">
      <c r="A28" s="71"/>
      <c r="B28" s="670" t="s">
        <v>539</v>
      </c>
      <c r="C28" s="636"/>
      <c r="D28" s="49"/>
      <c r="E28" s="49"/>
      <c r="F28" s="49"/>
      <c r="G28" s="49"/>
      <c r="H28" s="49"/>
      <c r="I28" s="49"/>
      <c r="J28" s="49"/>
      <c r="K28" s="49"/>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row>
    <row r="29" spans="1:96" ht="14.25" customHeight="1" x14ac:dyDescent="0.4">
      <c r="A29" s="71"/>
      <c r="B29" s="24"/>
      <c r="C29" s="404" t="str">
        <f>'Processing Equipment'!B30</f>
        <v>Ops Cost/Day/MCF</v>
      </c>
      <c r="D29" s="314">
        <f>'Processing Equipment'!C30</f>
        <v>0.80016003200640129</v>
      </c>
      <c r="E29" s="49"/>
      <c r="F29" s="49"/>
      <c r="G29" s="49"/>
      <c r="H29" s="49"/>
      <c r="I29" s="49"/>
      <c r="J29" s="49"/>
      <c r="K29" s="49"/>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row>
    <row r="30" spans="1:96" ht="14.25" customHeight="1" x14ac:dyDescent="0.4">
      <c r="A30" s="71"/>
      <c r="B30" s="24"/>
      <c r="C30" s="404" t="str">
        <f>'Processing Equipment'!B31</f>
        <v>Ops/Well/Mo.*</v>
      </c>
      <c r="D30" s="314">
        <f>'Processing Equipment'!C31</f>
        <v>28916.666666666672</v>
      </c>
      <c r="E30" s="49"/>
      <c r="F30" s="49"/>
      <c r="G30" s="49"/>
      <c r="H30" s="49"/>
      <c r="I30" s="49"/>
      <c r="J30" s="49"/>
      <c r="K30" s="49"/>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row>
    <row r="31" spans="1:96" ht="14.25" customHeight="1" x14ac:dyDescent="0.4">
      <c r="A31" s="71"/>
      <c r="B31" s="24"/>
      <c r="C31" s="24"/>
      <c r="D31" s="49"/>
      <c r="F31" s="39"/>
      <c r="G31" s="39"/>
      <c r="H31" s="39"/>
      <c r="I31" s="39"/>
      <c r="J31" s="39"/>
      <c r="K31" s="39"/>
      <c r="L31" s="39"/>
      <c r="M31" s="39"/>
      <c r="N31" s="39"/>
      <c r="O31" s="39"/>
      <c r="P31" s="39"/>
      <c r="Q31" s="39"/>
      <c r="R31" s="39"/>
      <c r="BE31" s="24"/>
      <c r="BR31" s="24"/>
      <c r="CE31" s="24"/>
      <c r="CR31" s="24"/>
    </row>
    <row r="32" spans="1:96" ht="14.25" customHeight="1" x14ac:dyDescent="0.4">
      <c r="A32" s="71">
        <v>1</v>
      </c>
      <c r="B32" t="s">
        <v>566</v>
      </c>
      <c r="D32" s="49"/>
      <c r="BE32" s="24"/>
      <c r="BR32" s="24"/>
      <c r="CE32" s="24"/>
      <c r="CR32" s="24"/>
    </row>
    <row r="33" spans="1:96" ht="14.25" customHeight="1" x14ac:dyDescent="0.4">
      <c r="A33" s="71">
        <v>2</v>
      </c>
      <c r="B33" t="s">
        <v>540</v>
      </c>
      <c r="D33" s="49"/>
      <c r="BE33" s="24"/>
      <c r="BR33" s="24"/>
      <c r="CE33" s="24"/>
      <c r="CR33" s="24"/>
    </row>
    <row r="34" spans="1:96" ht="14.25" customHeight="1" x14ac:dyDescent="0.4">
      <c r="A34" s="71">
        <v>3</v>
      </c>
      <c r="B34" s="426" t="s">
        <v>588</v>
      </c>
      <c r="D34" s="49"/>
      <c r="BE34" s="24"/>
      <c r="BR34" s="24"/>
      <c r="CE34" s="24"/>
      <c r="CR34" s="24"/>
    </row>
    <row r="35" spans="1:96" ht="14.25" customHeight="1" x14ac:dyDescent="0.4">
      <c r="A35" s="71">
        <v>4</v>
      </c>
      <c r="B35" s="426" t="s">
        <v>589</v>
      </c>
      <c r="D35" s="49"/>
      <c r="BE35" s="24"/>
      <c r="BR35" s="24"/>
      <c r="CE35" s="24"/>
      <c r="CR35" s="24"/>
    </row>
    <row r="36" spans="1:96" ht="14.25" customHeight="1" x14ac:dyDescent="0.4">
      <c r="A36" s="71"/>
      <c r="B36" t="s">
        <v>677</v>
      </c>
      <c r="D36" s="49"/>
      <c r="BE36" s="24"/>
      <c r="BR36" s="24"/>
      <c r="CE36" s="24"/>
      <c r="CR36" s="24"/>
    </row>
    <row r="37" spans="1:96" ht="14.25" customHeight="1" x14ac:dyDescent="0.4">
      <c r="A37" s="71"/>
      <c r="D37" s="49"/>
      <c r="BE37" s="24"/>
      <c r="BR37" s="24"/>
      <c r="CE37" s="24"/>
      <c r="CR37" s="24"/>
    </row>
    <row r="38" spans="1:96" ht="14.25" customHeight="1" x14ac:dyDescent="0.4">
      <c r="A38" s="71"/>
      <c r="D38" s="49"/>
      <c r="BE38" s="24"/>
      <c r="BR38" s="24"/>
      <c r="CE38" s="24"/>
      <c r="CR38" s="24"/>
    </row>
    <row r="39" spans="1:96" ht="14.25" customHeight="1" x14ac:dyDescent="0.4">
      <c r="A39" s="71"/>
      <c r="D39" s="49"/>
      <c r="BE39" s="24"/>
      <c r="BR39" s="24"/>
      <c r="CE39" s="24"/>
      <c r="CR39" s="24"/>
    </row>
    <row r="40" spans="1:96" ht="14.25" customHeight="1" x14ac:dyDescent="0.4">
      <c r="A40" s="71"/>
      <c r="D40" s="49"/>
      <c r="BE40" s="24"/>
      <c r="BR40" s="24"/>
      <c r="CE40" s="24"/>
      <c r="CR40" s="24"/>
    </row>
    <row r="41" spans="1:96" ht="14.25" customHeight="1" x14ac:dyDescent="0.4">
      <c r="A41" s="71"/>
      <c r="D41" s="49"/>
      <c r="BE41" s="24"/>
      <c r="BR41" s="24"/>
      <c r="CE41" s="24"/>
      <c r="CR41" s="24"/>
    </row>
    <row r="42" spans="1:96" ht="14.25" customHeight="1" x14ac:dyDescent="0.4">
      <c r="A42" s="71"/>
      <c r="D42" s="49"/>
      <c r="BE42" s="24"/>
      <c r="BR42" s="24"/>
      <c r="CE42" s="24"/>
      <c r="CR42" s="24"/>
    </row>
    <row r="43" spans="1:96" ht="14.25" customHeight="1" x14ac:dyDescent="0.4">
      <c r="A43" s="71"/>
      <c r="D43" s="49"/>
      <c r="BE43" s="24"/>
      <c r="BR43" s="24"/>
      <c r="CE43" s="24"/>
      <c r="CR43" s="24"/>
    </row>
    <row r="44" spans="1:96" ht="14.25" customHeight="1" x14ac:dyDescent="0.4">
      <c r="A44" s="71"/>
      <c r="D44" s="49"/>
      <c r="BE44" s="24"/>
      <c r="BR44" s="24"/>
      <c r="CE44" s="24"/>
      <c r="CR44" s="24"/>
    </row>
    <row r="45" spans="1:96" ht="14.25" customHeight="1" x14ac:dyDescent="0.4">
      <c r="A45" s="71"/>
      <c r="D45" s="49"/>
      <c r="BE45" s="24"/>
      <c r="BR45" s="24"/>
      <c r="CE45" s="24"/>
      <c r="CR45" s="24"/>
    </row>
    <row r="46" spans="1:96" ht="14.25" customHeight="1" x14ac:dyDescent="0.4">
      <c r="A46" s="71"/>
      <c r="D46" s="49"/>
      <c r="BE46" s="24"/>
      <c r="BR46" s="24"/>
      <c r="CE46" s="24"/>
      <c r="CR46" s="24"/>
    </row>
    <row r="47" spans="1:96" ht="14.25" customHeight="1" x14ac:dyDescent="0.4">
      <c r="A47" s="71"/>
      <c r="D47" s="49"/>
      <c r="BE47" s="24"/>
      <c r="BR47" s="24"/>
      <c r="CE47" s="24"/>
      <c r="CR47" s="24"/>
    </row>
    <row r="48" spans="1:96" ht="14.25" customHeight="1" x14ac:dyDescent="0.4">
      <c r="A48" s="71"/>
      <c r="D48" s="49"/>
      <c r="BE48" s="24"/>
      <c r="BR48" s="24"/>
      <c r="CE48" s="24"/>
      <c r="CR48" s="24"/>
    </row>
    <row r="49" spans="1:96" ht="14.25" customHeight="1" x14ac:dyDescent="0.4">
      <c r="A49" s="71"/>
      <c r="D49" s="49"/>
      <c r="BE49" s="24"/>
      <c r="BR49" s="24"/>
      <c r="CE49" s="24"/>
      <c r="CR49" s="24"/>
    </row>
    <row r="50" spans="1:96" ht="14.25" customHeight="1" x14ac:dyDescent="0.4">
      <c r="A50" s="71"/>
      <c r="D50" s="49"/>
      <c r="BE50" s="24"/>
      <c r="BR50" s="24"/>
      <c r="CE50" s="24"/>
      <c r="CR50" s="24"/>
    </row>
    <row r="51" spans="1:96" ht="14.25" customHeight="1" x14ac:dyDescent="0.4">
      <c r="A51" s="71"/>
      <c r="D51" s="49"/>
      <c r="BE51" s="24"/>
      <c r="BR51" s="24"/>
      <c r="CE51" s="24"/>
      <c r="CR51" s="24"/>
    </row>
    <row r="52" spans="1:96" ht="14.25" customHeight="1" x14ac:dyDescent="0.4">
      <c r="A52" s="71"/>
      <c r="D52" s="49"/>
      <c r="BE52" s="24"/>
      <c r="BR52" s="24"/>
      <c r="CE52" s="24"/>
      <c r="CR52" s="24"/>
    </row>
    <row r="53" spans="1:96" ht="14.25" customHeight="1" x14ac:dyDescent="0.4">
      <c r="A53" s="71"/>
      <c r="D53" s="49"/>
      <c r="BE53" s="24"/>
      <c r="BR53" s="24"/>
      <c r="CE53" s="24"/>
      <c r="CR53" s="24"/>
    </row>
    <row r="54" spans="1:96" ht="14.25" customHeight="1" x14ac:dyDescent="0.4">
      <c r="A54" s="71"/>
      <c r="D54" s="49"/>
      <c r="BE54" s="24"/>
      <c r="BR54" s="24"/>
      <c r="CE54" s="24"/>
      <c r="CR54" s="24"/>
    </row>
    <row r="55" spans="1:96" ht="14.25" customHeight="1" x14ac:dyDescent="0.4">
      <c r="A55" s="71"/>
      <c r="D55" s="49"/>
      <c r="BE55" s="24"/>
      <c r="BR55" s="24"/>
      <c r="CE55" s="24"/>
      <c r="CR55" s="24"/>
    </row>
    <row r="56" spans="1:96" ht="14.25" customHeight="1" x14ac:dyDescent="0.4">
      <c r="A56" s="71"/>
      <c r="D56" s="49"/>
      <c r="BE56" s="24"/>
      <c r="BR56" s="24"/>
      <c r="CE56" s="24"/>
      <c r="CR56" s="24"/>
    </row>
    <row r="57" spans="1:96" ht="14.25" customHeight="1" x14ac:dyDescent="0.4">
      <c r="A57" s="71"/>
      <c r="D57" s="49"/>
      <c r="BE57" s="24"/>
      <c r="BR57" s="24"/>
      <c r="CE57" s="24"/>
      <c r="CR57" s="24"/>
    </row>
    <row r="58" spans="1:96" ht="14.25" customHeight="1" x14ac:dyDescent="0.4">
      <c r="A58" s="71"/>
      <c r="D58" s="49"/>
      <c r="BE58" s="24"/>
      <c r="BR58" s="24"/>
      <c r="CE58" s="24"/>
      <c r="CR58" s="24"/>
    </row>
    <row r="59" spans="1:96" ht="14.25" customHeight="1" x14ac:dyDescent="0.4">
      <c r="A59" s="71"/>
      <c r="D59" s="49"/>
      <c r="BE59" s="24"/>
      <c r="BR59" s="24"/>
      <c r="CE59" s="24"/>
      <c r="CR59" s="24"/>
    </row>
    <row r="60" spans="1:96" ht="14.25" customHeight="1" x14ac:dyDescent="0.4">
      <c r="A60" s="71"/>
      <c r="D60" s="49"/>
      <c r="BE60" s="24"/>
      <c r="BR60" s="24"/>
      <c r="CE60" s="24"/>
      <c r="CR60" s="24"/>
    </row>
    <row r="61" spans="1:96" ht="14.25" customHeight="1" x14ac:dyDescent="0.4">
      <c r="A61" s="71"/>
      <c r="D61" s="49"/>
      <c r="BE61" s="24"/>
      <c r="BR61" s="24"/>
      <c r="CE61" s="24"/>
      <c r="CR61" s="24"/>
    </row>
    <row r="62" spans="1:96" ht="14.25" customHeight="1" x14ac:dyDescent="0.4">
      <c r="A62" s="71"/>
      <c r="D62" s="49"/>
      <c r="BE62" s="24"/>
      <c r="BR62" s="24"/>
      <c r="CE62" s="24"/>
      <c r="CR62" s="24"/>
    </row>
    <row r="63" spans="1:96" ht="14.25" customHeight="1" x14ac:dyDescent="0.4">
      <c r="A63" s="71"/>
      <c r="D63" s="49"/>
      <c r="BE63" s="24"/>
      <c r="BR63" s="24"/>
      <c r="CE63" s="24"/>
      <c r="CR63" s="24"/>
    </row>
    <row r="64" spans="1:96" ht="14.25" customHeight="1" x14ac:dyDescent="0.4">
      <c r="A64" s="71"/>
      <c r="D64" s="49"/>
      <c r="BE64" s="24"/>
      <c r="BR64" s="24"/>
      <c r="CE64" s="24"/>
      <c r="CR64" s="24"/>
    </row>
    <row r="65" spans="1:96" ht="14.25" customHeight="1" x14ac:dyDescent="0.4">
      <c r="A65" s="71"/>
      <c r="D65" s="49"/>
      <c r="BE65" s="24"/>
      <c r="BR65" s="24"/>
      <c r="CE65" s="24"/>
      <c r="CR65" s="24"/>
    </row>
    <row r="66" spans="1:96" ht="14.25" customHeight="1" x14ac:dyDescent="0.4">
      <c r="A66" s="71"/>
      <c r="D66" s="49"/>
      <c r="BE66" s="24"/>
      <c r="BR66" s="24"/>
      <c r="CE66" s="24"/>
      <c r="CR66" s="24"/>
    </row>
    <row r="67" spans="1:96" ht="14.25" customHeight="1" x14ac:dyDescent="0.4">
      <c r="A67" s="71"/>
      <c r="D67" s="49"/>
      <c r="BE67" s="24"/>
      <c r="BR67" s="24"/>
      <c r="CE67" s="24"/>
      <c r="CR67" s="24"/>
    </row>
    <row r="68" spans="1:96" ht="14.25" customHeight="1" x14ac:dyDescent="0.4">
      <c r="A68" s="71"/>
      <c r="D68" s="49"/>
      <c r="BE68" s="24"/>
      <c r="BR68" s="24"/>
      <c r="CE68" s="24"/>
      <c r="CR68" s="24"/>
    </row>
    <row r="69" spans="1:96" ht="14.25" customHeight="1" x14ac:dyDescent="0.4">
      <c r="A69" s="71"/>
      <c r="D69" s="49"/>
      <c r="BE69" s="24"/>
      <c r="BR69" s="24"/>
      <c r="CE69" s="24"/>
      <c r="CR69" s="24"/>
    </row>
    <row r="70" spans="1:96" ht="14.25" customHeight="1" x14ac:dyDescent="0.4">
      <c r="A70" s="71"/>
      <c r="D70" s="49"/>
      <c r="BE70" s="24"/>
      <c r="BR70" s="24"/>
      <c r="CE70" s="24"/>
      <c r="CR70" s="24"/>
    </row>
    <row r="71" spans="1:96" ht="14.25" customHeight="1" x14ac:dyDescent="0.4">
      <c r="A71" s="71"/>
      <c r="D71" s="49"/>
      <c r="BE71" s="24"/>
      <c r="BR71" s="24"/>
      <c r="CE71" s="24"/>
      <c r="CR71" s="24"/>
    </row>
    <row r="72" spans="1:96" ht="14.25" customHeight="1" x14ac:dyDescent="0.4">
      <c r="A72" s="71"/>
      <c r="D72" s="49"/>
      <c r="BE72" s="24"/>
      <c r="BR72" s="24"/>
      <c r="CE72" s="24"/>
      <c r="CR72" s="24"/>
    </row>
    <row r="73" spans="1:96" ht="14.25" customHeight="1" x14ac:dyDescent="0.4">
      <c r="A73" s="71"/>
      <c r="D73" s="49"/>
      <c r="BE73" s="24"/>
      <c r="BR73" s="24"/>
      <c r="CE73" s="24"/>
      <c r="CR73" s="24"/>
    </row>
    <row r="74" spans="1:96" ht="14.25" customHeight="1" x14ac:dyDescent="0.4">
      <c r="A74" s="71"/>
      <c r="D74" s="49"/>
      <c r="BE74" s="24"/>
      <c r="BR74" s="24"/>
      <c r="CE74" s="24"/>
      <c r="CR74" s="24"/>
    </row>
    <row r="75" spans="1:96" ht="14.25" customHeight="1" x14ac:dyDescent="0.4">
      <c r="A75" s="71"/>
      <c r="D75" s="49"/>
      <c r="BE75" s="24"/>
      <c r="BR75" s="24"/>
      <c r="CE75" s="24"/>
      <c r="CR75" s="24"/>
    </row>
    <row r="76" spans="1:96" ht="14.25" customHeight="1" x14ac:dyDescent="0.4">
      <c r="A76" s="71"/>
      <c r="D76" s="49"/>
      <c r="BE76" s="24"/>
      <c r="BR76" s="24"/>
      <c r="CE76" s="24"/>
      <c r="CR76" s="24"/>
    </row>
    <row r="77" spans="1:96" ht="14.25" customHeight="1" x14ac:dyDescent="0.4">
      <c r="A77" s="71"/>
      <c r="D77" s="49"/>
      <c r="BE77" s="24"/>
      <c r="BR77" s="24"/>
      <c r="CE77" s="24"/>
      <c r="CR77" s="24"/>
    </row>
    <row r="78" spans="1:96" ht="14.25" customHeight="1" x14ac:dyDescent="0.4">
      <c r="A78" s="71"/>
      <c r="D78" s="49"/>
      <c r="BE78" s="24"/>
      <c r="BR78" s="24"/>
      <c r="CE78" s="24"/>
      <c r="CR78" s="24"/>
    </row>
    <row r="79" spans="1:96" ht="14.25" customHeight="1" x14ac:dyDescent="0.4">
      <c r="A79" s="71"/>
      <c r="D79" s="49"/>
      <c r="BE79" s="24"/>
      <c r="BR79" s="24"/>
      <c r="CE79" s="24"/>
      <c r="CR79" s="24"/>
    </row>
    <row r="80" spans="1:96" ht="14.25" customHeight="1" x14ac:dyDescent="0.4">
      <c r="A80" s="71"/>
      <c r="D80" s="49"/>
      <c r="BE80" s="24"/>
      <c r="BR80" s="24"/>
      <c r="CE80" s="24"/>
      <c r="CR80" s="24"/>
    </row>
    <row r="81" spans="1:96" ht="14.25" customHeight="1" x14ac:dyDescent="0.4">
      <c r="A81" s="71"/>
      <c r="D81" s="49"/>
      <c r="BE81" s="24"/>
      <c r="BR81" s="24"/>
      <c r="CE81" s="24"/>
      <c r="CR81" s="24"/>
    </row>
    <row r="82" spans="1:96" ht="14.25" customHeight="1" x14ac:dyDescent="0.4">
      <c r="A82" s="71"/>
      <c r="D82" s="49"/>
      <c r="BE82" s="24"/>
      <c r="BR82" s="24"/>
      <c r="CE82" s="24"/>
      <c r="CR82" s="24"/>
    </row>
    <row r="83" spans="1:96" ht="14.25" customHeight="1" x14ac:dyDescent="0.4">
      <c r="A83" s="71"/>
      <c r="D83" s="49"/>
      <c r="BE83" s="24"/>
      <c r="BR83" s="24"/>
      <c r="CE83" s="24"/>
      <c r="CR83" s="24"/>
    </row>
    <row r="84" spans="1:96" ht="14.25" customHeight="1" x14ac:dyDescent="0.4">
      <c r="A84" s="71"/>
      <c r="D84" s="49"/>
      <c r="BE84" s="24"/>
      <c r="BR84" s="24"/>
      <c r="CE84" s="24"/>
      <c r="CR84" s="24"/>
    </row>
    <row r="85" spans="1:96" ht="14.25" customHeight="1" x14ac:dyDescent="0.4">
      <c r="A85" s="71"/>
      <c r="D85" s="49"/>
      <c r="BE85" s="24"/>
      <c r="BR85" s="24"/>
      <c r="CE85" s="24"/>
      <c r="CR85" s="24"/>
    </row>
    <row r="86" spans="1:96" ht="14.25" customHeight="1" x14ac:dyDescent="0.4">
      <c r="A86" s="71"/>
      <c r="D86" s="49"/>
      <c r="BE86" s="24"/>
      <c r="BR86" s="24"/>
      <c r="CE86" s="24"/>
      <c r="CR86" s="24"/>
    </row>
    <row r="87" spans="1:96" ht="14.25" customHeight="1" x14ac:dyDescent="0.4">
      <c r="A87" s="71"/>
      <c r="D87" s="49"/>
      <c r="BE87" s="24"/>
      <c r="BR87" s="24"/>
      <c r="CE87" s="24"/>
      <c r="CR87" s="24"/>
    </row>
    <row r="88" spans="1:96" ht="14.25" customHeight="1" x14ac:dyDescent="0.4">
      <c r="A88" s="71"/>
      <c r="D88" s="49"/>
      <c r="BE88" s="24"/>
      <c r="BR88" s="24"/>
      <c r="CE88" s="24"/>
      <c r="CR88" s="24"/>
    </row>
    <row r="89" spans="1:96" ht="14.25" customHeight="1" x14ac:dyDescent="0.4">
      <c r="A89" s="71"/>
      <c r="D89" s="49"/>
      <c r="BE89" s="24"/>
      <c r="BR89" s="24"/>
      <c r="CE89" s="24"/>
      <c r="CR89" s="24"/>
    </row>
    <row r="90" spans="1:96" ht="14.25" customHeight="1" x14ac:dyDescent="0.4">
      <c r="A90" s="71"/>
      <c r="D90" s="49"/>
      <c r="BE90" s="24"/>
      <c r="BR90" s="24"/>
      <c r="CE90" s="24"/>
      <c r="CR90" s="24"/>
    </row>
    <row r="91" spans="1:96" ht="14.25" customHeight="1" x14ac:dyDescent="0.4">
      <c r="A91" s="71"/>
      <c r="D91" s="49"/>
      <c r="BE91" s="24"/>
      <c r="BR91" s="24"/>
      <c r="CE91" s="24"/>
      <c r="CR91" s="24"/>
    </row>
    <row r="92" spans="1:96" ht="14.25" customHeight="1" x14ac:dyDescent="0.4">
      <c r="A92" s="71"/>
      <c r="D92" s="49"/>
      <c r="BE92" s="24"/>
      <c r="BR92" s="24"/>
      <c r="CE92" s="24"/>
      <c r="CR92" s="24"/>
    </row>
    <row r="93" spans="1:96" ht="14.25" customHeight="1" x14ac:dyDescent="0.4">
      <c r="A93" s="71"/>
      <c r="D93" s="49"/>
      <c r="BE93" s="24"/>
      <c r="BR93" s="24"/>
      <c r="CE93" s="24"/>
      <c r="CR93" s="24"/>
    </row>
    <row r="94" spans="1:96" ht="14.25" customHeight="1" x14ac:dyDescent="0.4">
      <c r="A94" s="71"/>
      <c r="D94" s="49"/>
      <c r="BE94" s="24"/>
      <c r="BR94" s="24"/>
      <c r="CE94" s="24"/>
      <c r="CR94" s="24"/>
    </row>
    <row r="95" spans="1:96" ht="14.25" customHeight="1" x14ac:dyDescent="0.4">
      <c r="A95" s="71"/>
      <c r="D95" s="49"/>
      <c r="BE95" s="24"/>
      <c r="BR95" s="24"/>
      <c r="CE95" s="24"/>
      <c r="CR95" s="24"/>
    </row>
    <row r="96" spans="1:96" ht="14.25" customHeight="1" x14ac:dyDescent="0.4">
      <c r="A96" s="71"/>
      <c r="D96" s="49"/>
      <c r="BE96" s="24"/>
      <c r="BR96" s="24"/>
      <c r="CE96" s="24"/>
      <c r="CR96" s="24"/>
    </row>
    <row r="97" spans="1:96" ht="14.25" customHeight="1" x14ac:dyDescent="0.4">
      <c r="A97" s="71"/>
      <c r="D97" s="49"/>
      <c r="BE97" s="24"/>
      <c r="BR97" s="24"/>
      <c r="CE97" s="24"/>
      <c r="CR97" s="24"/>
    </row>
    <row r="98" spans="1:96" ht="14.25" customHeight="1" x14ac:dyDescent="0.4">
      <c r="A98" s="71"/>
      <c r="D98" s="49"/>
      <c r="BE98" s="24"/>
      <c r="BR98" s="24"/>
      <c r="CE98" s="24"/>
      <c r="CR98" s="24"/>
    </row>
    <row r="99" spans="1:96" ht="14.25" customHeight="1" x14ac:dyDescent="0.4">
      <c r="A99" s="71"/>
      <c r="D99" s="49"/>
      <c r="BE99" s="24"/>
      <c r="BR99" s="24"/>
      <c r="CE99" s="24"/>
      <c r="CR99" s="24"/>
    </row>
    <row r="100" spans="1:96" ht="14.25" customHeight="1" x14ac:dyDescent="0.4">
      <c r="A100" s="71"/>
      <c r="D100" s="49"/>
      <c r="BE100" s="24"/>
      <c r="BR100" s="24"/>
      <c r="CE100" s="24"/>
      <c r="CR100" s="24"/>
    </row>
  </sheetData>
  <mergeCells count="1">
    <mergeCell ref="B28:C2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EQ223"/>
  <sheetViews>
    <sheetView topLeftCell="AD17" zoomScale="105" zoomScaleNormal="105" workbookViewId="0">
      <selection activeCell="AN17" sqref="AN17"/>
    </sheetView>
  </sheetViews>
  <sheetFormatPr defaultColWidth="12.61328125" defaultRowHeight="15" customHeight="1" outlineLevelRow="2" outlineLevelCol="1" x14ac:dyDescent="0.4"/>
  <cols>
    <col min="1" max="1" width="6.69140625" customWidth="1"/>
    <col min="2" max="2" width="73.3828125" customWidth="1"/>
    <col min="3" max="3" width="15.921875" bestFit="1" customWidth="1"/>
    <col min="4" max="4" width="15.61328125" bestFit="1" customWidth="1"/>
    <col min="5" max="6" width="13.3046875" customWidth="1" outlineLevel="1"/>
    <col min="7" max="16" width="13.4609375" customWidth="1" outlineLevel="1"/>
    <col min="17" max="17" width="14.07421875" style="428" bestFit="1" customWidth="1"/>
    <col min="18" max="29" width="13.4609375" customWidth="1" outlineLevel="1"/>
    <col min="30" max="30" width="14.07421875" style="428" bestFit="1" customWidth="1"/>
    <col min="31" max="31" width="15.15234375" customWidth="1" outlineLevel="1"/>
    <col min="32" max="32" width="14.07421875" customWidth="1" outlineLevel="1"/>
    <col min="33" max="34" width="13.4609375" customWidth="1" outlineLevel="1"/>
    <col min="35" max="42" width="14.3828125" customWidth="1" outlineLevel="1"/>
    <col min="43" max="43" width="15.921875" style="428" bestFit="1" customWidth="1"/>
    <col min="44" max="44" width="13.3046875" customWidth="1" outlineLevel="1"/>
    <col min="45" max="47" width="14.3828125" customWidth="1" outlineLevel="1"/>
    <col min="48" max="55" width="14.4609375" customWidth="1" outlineLevel="1"/>
    <col min="56" max="56" width="16" style="428" bestFit="1" customWidth="1"/>
    <col min="57" max="57" width="13.3828125" customWidth="1" outlineLevel="1"/>
    <col min="58" max="68" width="14.4609375" customWidth="1" outlineLevel="1"/>
    <col min="69" max="69" width="16" style="428" bestFit="1" customWidth="1"/>
    <col min="70" max="81" width="14.4609375" customWidth="1" outlineLevel="1"/>
    <col min="82" max="82" width="16" style="428" bestFit="1" customWidth="1"/>
    <col min="83" max="93" width="14.4609375" customWidth="1" outlineLevel="1"/>
    <col min="94" max="94" width="14.4609375" style="426" customWidth="1" outlineLevel="1"/>
    <col min="95" max="95" width="16" bestFit="1" customWidth="1"/>
    <col min="96" max="96" width="14.69140625" customWidth="1"/>
    <col min="97" max="97" width="12.61328125" customWidth="1"/>
    <col min="98" max="98" width="13.07421875" customWidth="1"/>
    <col min="99" max="107" width="12.61328125" customWidth="1"/>
    <col min="108" max="108" width="13.4609375" customWidth="1"/>
    <col min="109" max="109" width="12.61328125" customWidth="1"/>
    <col min="110" max="115" width="9.3046875" customWidth="1"/>
  </cols>
  <sheetData>
    <row r="1" spans="1:147" ht="14.25" customHeight="1" x14ac:dyDescent="0.5">
      <c r="A1" s="37"/>
      <c r="B1" s="457" t="s">
        <v>46</v>
      </c>
      <c r="C1" s="458"/>
      <c r="Q1" s="24"/>
      <c r="BS1" s="38"/>
      <c r="CQ1" s="39"/>
    </row>
    <row r="2" spans="1:147" ht="14.25" customHeight="1" x14ac:dyDescent="0.4">
      <c r="A2" s="37"/>
      <c r="B2" s="40" t="s">
        <v>47</v>
      </c>
      <c r="C2" s="599"/>
      <c r="Q2" s="24"/>
      <c r="BS2" s="38"/>
      <c r="CQ2" s="39"/>
    </row>
    <row r="3" spans="1:147" ht="14.25" customHeight="1" x14ac:dyDescent="0.4">
      <c r="A3" s="37"/>
      <c r="B3" s="41" t="s">
        <v>48</v>
      </c>
      <c r="C3" s="42">
        <v>0.12</v>
      </c>
      <c r="D3" s="43" t="s">
        <v>49</v>
      </c>
      <c r="H3" s="44"/>
      <c r="J3" s="45"/>
      <c r="Q3" s="24"/>
      <c r="BS3" s="38"/>
      <c r="CQ3" s="39"/>
    </row>
    <row r="4" spans="1:147" ht="14.25" customHeight="1" x14ac:dyDescent="0.4">
      <c r="A4" s="37"/>
      <c r="B4" s="46"/>
      <c r="C4" s="47"/>
      <c r="D4" s="48"/>
      <c r="H4" s="44"/>
      <c r="J4" s="45"/>
      <c r="Q4" s="24"/>
      <c r="BS4" s="38"/>
      <c r="CD4" s="24"/>
      <c r="CQ4" s="49"/>
    </row>
    <row r="5" spans="1:147" ht="14.25" customHeight="1" x14ac:dyDescent="0.5">
      <c r="A5" s="50"/>
      <c r="B5" s="51" t="s">
        <v>50</v>
      </c>
      <c r="C5" s="52">
        <v>6.1199999999999997E-2</v>
      </c>
      <c r="D5" s="53">
        <v>1250</v>
      </c>
      <c r="E5" s="503" t="s">
        <v>51</v>
      </c>
      <c r="F5" s="54"/>
      <c r="G5" s="54"/>
      <c r="H5" s="54"/>
      <c r="I5" s="54"/>
      <c r="J5" s="54"/>
      <c r="K5" s="54"/>
      <c r="L5" s="54"/>
      <c r="M5" s="54"/>
      <c r="N5" s="54"/>
      <c r="O5" s="54"/>
      <c r="P5" s="54"/>
      <c r="Q5" s="55"/>
      <c r="R5" s="54"/>
      <c r="S5" s="54"/>
      <c r="T5" s="54"/>
      <c r="U5" s="54"/>
      <c r="V5" s="54"/>
      <c r="W5" s="54"/>
      <c r="X5" s="54"/>
      <c r="Y5" s="54"/>
      <c r="Z5" s="54"/>
      <c r="AA5" s="54"/>
      <c r="AB5" s="54"/>
      <c r="AC5" s="54"/>
      <c r="AD5" s="55"/>
      <c r="AE5" s="54"/>
      <c r="AF5" s="54"/>
      <c r="AG5" s="54"/>
      <c r="AH5" s="54"/>
      <c r="AI5" s="54"/>
      <c r="AJ5" s="54"/>
      <c r="AK5" s="54"/>
      <c r="AL5" s="54"/>
      <c r="AM5" s="54"/>
      <c r="AN5" s="54"/>
      <c r="AO5" s="54"/>
      <c r="AP5" s="54"/>
      <c r="AQ5" s="55"/>
      <c r="AR5" s="54"/>
      <c r="AS5" s="54"/>
      <c r="AT5" s="54"/>
      <c r="AU5" s="54"/>
      <c r="AV5" s="54"/>
      <c r="AW5" s="54"/>
      <c r="AX5" s="54"/>
      <c r="AY5" s="54"/>
      <c r="AZ5" s="54"/>
      <c r="BA5" s="54"/>
      <c r="BB5" s="54"/>
      <c r="BC5" s="54"/>
      <c r="BD5" s="55"/>
      <c r="BE5" s="54"/>
      <c r="BF5" s="54"/>
      <c r="BG5" s="54"/>
      <c r="BH5" s="54"/>
      <c r="BI5" s="54"/>
      <c r="BJ5" s="54"/>
      <c r="BK5" s="54"/>
      <c r="BL5" s="54"/>
      <c r="BM5" s="54"/>
      <c r="BN5" s="54"/>
      <c r="BO5" s="54"/>
      <c r="BP5" s="54"/>
      <c r="BQ5" s="55"/>
      <c r="BR5" s="54"/>
      <c r="BS5" s="56"/>
      <c r="BT5" s="54"/>
      <c r="BU5" s="54"/>
      <c r="BV5" s="54"/>
      <c r="BW5" s="54"/>
      <c r="BX5" s="54"/>
      <c r="BY5" s="54"/>
      <c r="BZ5" s="54"/>
      <c r="CA5" s="54"/>
      <c r="CB5" s="54"/>
      <c r="CC5" s="54"/>
      <c r="CD5" s="55"/>
      <c r="CE5" s="54"/>
      <c r="CF5" s="54"/>
      <c r="CG5" s="54"/>
      <c r="CH5" s="54"/>
      <c r="CI5" s="54"/>
      <c r="CJ5" s="54"/>
      <c r="CK5" s="54"/>
      <c r="CL5" s="54"/>
      <c r="CM5" s="54"/>
      <c r="CN5" s="54"/>
      <c r="CO5" s="54"/>
      <c r="CP5" s="54"/>
      <c r="CQ5" s="57"/>
      <c r="CR5" s="54"/>
      <c r="CS5" s="54"/>
      <c r="CT5" s="54"/>
      <c r="CU5" s="54"/>
      <c r="CV5" s="54"/>
      <c r="CW5" s="54"/>
      <c r="CX5" s="54"/>
      <c r="CY5" s="54"/>
      <c r="CZ5" s="54"/>
      <c r="DA5" s="54"/>
      <c r="DB5" s="54"/>
      <c r="DC5" s="54"/>
      <c r="DD5" s="54"/>
      <c r="DE5" s="54"/>
      <c r="DF5" s="54"/>
      <c r="DG5" s="54"/>
      <c r="DH5" s="54"/>
      <c r="DI5" s="54"/>
      <c r="DJ5" s="54"/>
      <c r="DK5" s="54"/>
    </row>
    <row r="6" spans="1:147" ht="14.25" customHeight="1" x14ac:dyDescent="0.5">
      <c r="A6" s="50"/>
      <c r="B6" s="58" t="s">
        <v>52</v>
      </c>
      <c r="C6" s="59">
        <v>400</v>
      </c>
      <c r="D6" s="60">
        <v>1</v>
      </c>
      <c r="E6" s="504"/>
      <c r="F6" s="54"/>
      <c r="G6" s="54"/>
      <c r="H6" s="54"/>
      <c r="I6" s="54"/>
      <c r="J6" s="54"/>
      <c r="K6" s="54"/>
      <c r="L6" s="54"/>
      <c r="M6" s="54"/>
      <c r="N6" s="54"/>
      <c r="O6" s="54"/>
      <c r="P6" s="54"/>
      <c r="Q6" s="55"/>
      <c r="R6" s="54"/>
      <c r="S6" s="54"/>
      <c r="T6" s="54"/>
      <c r="U6" s="54"/>
      <c r="V6" s="54"/>
      <c r="W6" s="54"/>
      <c r="X6" s="54"/>
      <c r="Y6" s="54"/>
      <c r="Z6" s="54"/>
      <c r="AA6" s="54"/>
      <c r="AB6" s="54"/>
      <c r="AC6" s="54"/>
      <c r="AD6" s="55"/>
      <c r="AE6" s="54"/>
      <c r="AF6" s="54"/>
      <c r="AG6" s="54"/>
      <c r="AH6" s="54"/>
      <c r="AI6" s="54"/>
      <c r="AJ6" s="54"/>
      <c r="AK6" s="54"/>
      <c r="AL6" s="54"/>
      <c r="AM6" s="54"/>
      <c r="AN6" s="54"/>
      <c r="AO6" s="54"/>
      <c r="AP6" s="54"/>
      <c r="AQ6" s="55"/>
      <c r="AR6" s="54"/>
      <c r="AS6" s="54"/>
      <c r="AT6" s="54"/>
      <c r="AU6" s="54"/>
      <c r="AV6" s="54"/>
      <c r="AW6" s="54"/>
      <c r="AX6" s="54"/>
      <c r="AY6" s="54"/>
      <c r="AZ6" s="54"/>
      <c r="BA6" s="54"/>
      <c r="BB6" s="54"/>
      <c r="BC6" s="54"/>
      <c r="BD6" s="55"/>
      <c r="BE6" s="54"/>
      <c r="BF6" s="54"/>
      <c r="BG6" s="54"/>
      <c r="BH6" s="54"/>
      <c r="BI6" s="54"/>
      <c r="BJ6" s="54"/>
      <c r="BK6" s="54"/>
      <c r="BL6" s="54"/>
      <c r="BM6" s="54"/>
      <c r="BN6" s="54"/>
      <c r="BO6" s="54"/>
      <c r="BP6" s="54"/>
      <c r="BQ6" s="55"/>
      <c r="BR6" s="54"/>
      <c r="BS6" s="56"/>
      <c r="BT6" s="54"/>
      <c r="BU6" s="54"/>
      <c r="BV6" s="54"/>
      <c r="BW6" s="54"/>
      <c r="BX6" s="54"/>
      <c r="BY6" s="54"/>
      <c r="BZ6" s="54"/>
      <c r="CA6" s="54"/>
      <c r="CB6" s="54"/>
      <c r="CC6" s="54"/>
      <c r="CD6" s="55"/>
      <c r="CE6" s="54"/>
      <c r="CF6" s="54"/>
      <c r="CG6" s="54"/>
      <c r="CH6" s="54"/>
      <c r="CI6" s="54"/>
      <c r="CJ6" s="54"/>
      <c r="CK6" s="54"/>
      <c r="CL6" s="54"/>
      <c r="CM6" s="54"/>
      <c r="CN6" s="54"/>
      <c r="CO6" s="54"/>
      <c r="CP6" s="54"/>
      <c r="CQ6" s="57"/>
      <c r="CR6" s="54"/>
      <c r="CS6" s="54"/>
      <c r="CT6" s="54"/>
      <c r="CU6" s="54"/>
      <c r="CV6" s="54"/>
      <c r="CW6" s="54"/>
      <c r="CX6" s="54"/>
      <c r="CY6" s="54"/>
      <c r="CZ6" s="54"/>
      <c r="DA6" s="54"/>
      <c r="DB6" s="54"/>
      <c r="DC6" s="54"/>
      <c r="DD6" s="54"/>
      <c r="DE6" s="54"/>
      <c r="DF6" s="54"/>
      <c r="DG6" s="54"/>
      <c r="DH6" s="54"/>
      <c r="DI6" s="54"/>
      <c r="DJ6" s="54"/>
      <c r="DK6" s="54"/>
    </row>
    <row r="7" spans="1:147" ht="14.25" customHeight="1" x14ac:dyDescent="0.5">
      <c r="A7" s="50"/>
      <c r="B7" s="593" t="s">
        <v>660</v>
      </c>
      <c r="C7" s="61">
        <f>('Hydrogen Calculations'!$J$20)/5</f>
        <v>286622.03304000001</v>
      </c>
      <c r="D7" s="62">
        <v>1</v>
      </c>
      <c r="E7" s="503"/>
      <c r="F7" s="54"/>
      <c r="G7" s="54"/>
      <c r="H7" s="54"/>
      <c r="I7" s="54"/>
      <c r="J7" s="54"/>
      <c r="K7" s="54"/>
      <c r="L7" s="54"/>
      <c r="M7" s="54"/>
      <c r="N7" s="54"/>
      <c r="O7" s="54"/>
      <c r="P7" s="54"/>
      <c r="Q7" s="55"/>
      <c r="R7" s="54"/>
      <c r="S7" s="54"/>
      <c r="T7" s="54"/>
      <c r="U7" s="54"/>
      <c r="V7" s="54"/>
      <c r="W7" s="54"/>
      <c r="X7" s="54"/>
      <c r="Y7" s="54"/>
      <c r="Z7" s="54"/>
      <c r="AA7" s="54"/>
      <c r="AB7" s="54"/>
      <c r="AC7" s="54"/>
      <c r="AD7" s="55"/>
      <c r="AE7" s="54"/>
      <c r="AF7" s="54"/>
      <c r="AG7" s="54"/>
      <c r="AH7" s="54"/>
      <c r="AI7" s="54"/>
      <c r="AJ7" s="54"/>
      <c r="AK7" s="54"/>
      <c r="AL7" s="54"/>
      <c r="AM7" s="54"/>
      <c r="AN7" s="54"/>
      <c r="AO7" s="54"/>
      <c r="AP7" s="54"/>
      <c r="AQ7" s="55"/>
      <c r="AR7" s="54"/>
      <c r="AS7" s="54"/>
      <c r="AT7" s="54"/>
      <c r="AU7" s="54"/>
      <c r="AV7" s="54"/>
      <c r="AW7" s="54"/>
      <c r="AX7" s="54"/>
      <c r="AY7" s="54"/>
      <c r="AZ7" s="54"/>
      <c r="BA7" s="54"/>
      <c r="BB7" s="54"/>
      <c r="BC7" s="54"/>
      <c r="BD7" s="55"/>
      <c r="BE7" s="54"/>
      <c r="BF7" s="54"/>
      <c r="BG7" s="54"/>
      <c r="BH7" s="54"/>
      <c r="BI7" s="54"/>
      <c r="BJ7" s="54"/>
      <c r="BK7" s="54"/>
      <c r="BL7" s="54"/>
      <c r="BM7" s="54"/>
      <c r="BN7" s="54"/>
      <c r="BO7" s="54"/>
      <c r="BP7" s="54"/>
      <c r="BQ7" s="55"/>
      <c r="BR7" s="54"/>
      <c r="BS7" s="56"/>
      <c r="BT7" s="54"/>
      <c r="BU7" s="54"/>
      <c r="BV7" s="54"/>
      <c r="BW7" s="54"/>
      <c r="BX7" s="54"/>
      <c r="BY7" s="54"/>
      <c r="BZ7" s="54"/>
      <c r="CA7" s="54"/>
      <c r="CB7" s="54"/>
      <c r="CC7" s="54"/>
      <c r="CD7" s="55"/>
      <c r="CE7" s="54"/>
      <c r="CF7" s="54"/>
      <c r="CG7" s="54"/>
      <c r="CH7" s="54"/>
      <c r="CI7" s="54"/>
      <c r="CJ7" s="54"/>
      <c r="CK7" s="54"/>
      <c r="CL7" s="54"/>
      <c r="CM7" s="54"/>
      <c r="CN7" s="54"/>
      <c r="CO7" s="54"/>
      <c r="CP7" s="54"/>
      <c r="CQ7" s="57"/>
      <c r="CR7" s="54"/>
      <c r="CS7" s="54"/>
      <c r="CT7" s="54"/>
      <c r="CU7" s="54"/>
      <c r="CV7" s="54"/>
      <c r="CW7" s="54"/>
      <c r="CX7" s="54"/>
      <c r="CY7" s="54"/>
      <c r="CZ7" s="54"/>
      <c r="DA7" s="54"/>
      <c r="DB7" s="54"/>
      <c r="DC7" s="54"/>
      <c r="DD7" s="54"/>
      <c r="DE7" s="54"/>
      <c r="DF7" s="54"/>
      <c r="DG7" s="54"/>
      <c r="DH7" s="54"/>
      <c r="DI7" s="54"/>
      <c r="DJ7" s="54"/>
      <c r="DK7" s="54"/>
    </row>
    <row r="8" spans="1:147" ht="14.25" customHeight="1" x14ac:dyDescent="0.55000000000000004">
      <c r="A8" s="50"/>
      <c r="B8" s="459" t="s">
        <v>591</v>
      </c>
      <c r="C8" s="63">
        <f>'Gases Calculation'!B23*D8</f>
        <v>429645.29868197622</v>
      </c>
      <c r="D8" s="64">
        <v>1</v>
      </c>
      <c r="E8" s="56"/>
      <c r="F8" s="54"/>
      <c r="G8" s="54"/>
      <c r="H8" s="54"/>
      <c r="I8" s="54"/>
      <c r="J8" s="54"/>
      <c r="K8" s="65"/>
      <c r="L8" s="65"/>
      <c r="M8" s="65"/>
      <c r="N8" s="65"/>
      <c r="O8" s="65"/>
      <c r="P8" s="65"/>
      <c r="Q8" s="66"/>
      <c r="R8" s="65"/>
      <c r="S8" s="65"/>
      <c r="T8" s="65"/>
      <c r="U8" s="65"/>
      <c r="V8" s="65"/>
      <c r="W8" s="54"/>
      <c r="X8" s="54"/>
      <c r="Y8" s="54"/>
      <c r="Z8" s="54"/>
      <c r="AA8" s="54"/>
      <c r="AB8" s="54"/>
      <c r="AC8" s="54"/>
      <c r="AD8" s="55"/>
      <c r="AE8" s="54"/>
      <c r="AF8" s="54"/>
      <c r="AG8" s="54"/>
      <c r="AH8" s="54"/>
      <c r="AI8" s="54"/>
      <c r="AJ8" s="54"/>
      <c r="AK8" s="54"/>
      <c r="AL8" s="54"/>
      <c r="AM8" s="54"/>
      <c r="AN8" s="54"/>
      <c r="AO8" s="54"/>
      <c r="AP8" s="54"/>
      <c r="AQ8" s="55"/>
      <c r="AR8" s="54"/>
      <c r="AS8" s="54"/>
      <c r="AT8" s="54"/>
      <c r="AU8" s="54"/>
      <c r="AV8" s="54"/>
      <c r="AW8" s="54"/>
      <c r="AX8" s="54"/>
      <c r="AY8" s="54"/>
      <c r="AZ8" s="54"/>
      <c r="BA8" s="54"/>
      <c r="BB8" s="54"/>
      <c r="BC8" s="54"/>
      <c r="BD8" s="55"/>
      <c r="BE8" s="54"/>
      <c r="BF8" s="54"/>
      <c r="BG8" s="54"/>
      <c r="BH8" s="54"/>
      <c r="BI8" s="54"/>
      <c r="BJ8" s="54"/>
      <c r="BK8" s="54"/>
      <c r="BL8" s="54"/>
      <c r="BM8" s="54"/>
      <c r="BN8" s="54"/>
      <c r="BO8" s="54"/>
      <c r="BP8" s="54"/>
      <c r="BQ8" s="66"/>
      <c r="BR8" s="54"/>
      <c r="BS8" s="56"/>
      <c r="BT8" s="54"/>
      <c r="BU8" s="54"/>
      <c r="BV8" s="54"/>
      <c r="BW8" s="54"/>
      <c r="BX8" s="54"/>
      <c r="BY8" s="54"/>
      <c r="BZ8" s="54"/>
      <c r="CA8" s="54"/>
      <c r="CB8" s="54"/>
      <c r="CC8" s="54"/>
      <c r="CD8" s="55"/>
      <c r="CE8" s="54"/>
      <c r="CF8" s="54"/>
      <c r="CG8" s="54"/>
      <c r="CH8" s="54"/>
      <c r="CI8" s="54"/>
      <c r="CJ8" s="54"/>
      <c r="CK8" s="54"/>
      <c r="CL8" s="54"/>
      <c r="CM8" s="54"/>
      <c r="CN8" s="54"/>
      <c r="CO8" s="54"/>
      <c r="CP8" s="54"/>
      <c r="CQ8" s="57"/>
      <c r="CR8" s="54"/>
      <c r="CS8" s="54"/>
      <c r="CT8" s="54"/>
      <c r="CU8" s="54"/>
      <c r="CV8" s="54"/>
      <c r="CW8" s="54"/>
      <c r="CX8" s="54"/>
      <c r="CY8" s="54"/>
      <c r="CZ8" s="54"/>
      <c r="DA8" s="54"/>
      <c r="DB8" s="54"/>
      <c r="DC8" s="54"/>
      <c r="DD8" s="54"/>
      <c r="DE8" s="54"/>
      <c r="DF8" s="54"/>
      <c r="DG8" s="54"/>
      <c r="DH8" s="54"/>
      <c r="DI8" s="54"/>
      <c r="DJ8" s="54"/>
      <c r="DK8" s="54"/>
    </row>
    <row r="9" spans="1:147" ht="14.25" customHeight="1" x14ac:dyDescent="0.5">
      <c r="A9" s="50"/>
      <c r="B9" s="413"/>
      <c r="C9" s="414"/>
      <c r="D9" s="415"/>
      <c r="E9" s="56"/>
      <c r="F9" s="54"/>
      <c r="G9" s="54"/>
      <c r="H9" s="54"/>
      <c r="I9" s="54"/>
      <c r="J9" s="54"/>
      <c r="K9" s="65"/>
      <c r="L9" s="65"/>
      <c r="M9" s="65"/>
      <c r="N9" s="65"/>
      <c r="O9" s="65"/>
      <c r="P9" s="65"/>
      <c r="Q9" s="66"/>
      <c r="R9" s="65"/>
      <c r="S9" s="65"/>
      <c r="T9" s="65"/>
      <c r="U9" s="65"/>
      <c r="V9" s="65"/>
      <c r="W9" s="54"/>
      <c r="X9" s="54"/>
      <c r="Y9" s="54"/>
      <c r="Z9" s="54"/>
      <c r="AA9" s="54"/>
      <c r="AB9" s="54"/>
      <c r="AC9" s="54"/>
      <c r="AD9" s="55"/>
      <c r="AE9" s="54"/>
      <c r="AF9" s="54"/>
      <c r="AG9" s="54"/>
      <c r="AH9" s="54"/>
      <c r="AI9" s="54"/>
      <c r="AJ9" s="54"/>
      <c r="AK9" s="54"/>
      <c r="AL9" s="54"/>
      <c r="AM9" s="54"/>
      <c r="AN9" s="54"/>
      <c r="AO9" s="54"/>
      <c r="AP9" s="54"/>
      <c r="AQ9" s="55"/>
      <c r="AR9" s="54"/>
      <c r="AS9" s="54"/>
      <c r="AT9" s="54"/>
      <c r="AU9" s="54"/>
      <c r="AV9" s="54"/>
      <c r="AW9" s="54"/>
      <c r="AX9" s="54"/>
      <c r="AY9" s="54"/>
      <c r="AZ9" s="54"/>
      <c r="BA9" s="54"/>
      <c r="BB9" s="54"/>
      <c r="BC9" s="54"/>
      <c r="BD9" s="55"/>
      <c r="BE9" s="54"/>
      <c r="BF9" s="54"/>
      <c r="BG9" s="54"/>
      <c r="BH9" s="54"/>
      <c r="BI9" s="54"/>
      <c r="BJ9" s="54"/>
      <c r="BK9" s="54"/>
      <c r="BL9" s="54"/>
      <c r="BM9" s="54"/>
      <c r="BN9" s="54"/>
      <c r="BO9" s="54"/>
      <c r="BP9" s="54"/>
      <c r="BQ9" s="66"/>
      <c r="BR9" s="54"/>
      <c r="BS9" s="56"/>
      <c r="BT9" s="54"/>
      <c r="BU9" s="54"/>
      <c r="BV9" s="54"/>
      <c r="BW9" s="54"/>
      <c r="BX9" s="54"/>
      <c r="BY9" s="54"/>
      <c r="BZ9" s="54"/>
      <c r="CA9" s="54"/>
      <c r="CB9" s="54"/>
      <c r="CC9" s="54"/>
      <c r="CD9" s="55"/>
      <c r="CE9" s="54"/>
      <c r="CF9" s="54"/>
      <c r="CG9" s="54"/>
      <c r="CH9" s="54"/>
      <c r="CI9" s="54"/>
      <c r="CJ9" s="54"/>
      <c r="CK9" s="54"/>
      <c r="CL9" s="54"/>
      <c r="CM9" s="54"/>
      <c r="CN9" s="54"/>
      <c r="CO9" s="54"/>
      <c r="CP9" s="54"/>
      <c r="CQ9" s="57"/>
      <c r="CR9" s="54"/>
      <c r="CS9" s="54"/>
      <c r="CT9" s="54"/>
      <c r="CU9" s="54"/>
      <c r="CV9" s="54"/>
      <c r="CW9" s="54"/>
      <c r="CX9" s="54"/>
      <c r="CY9" s="54"/>
      <c r="CZ9" s="54"/>
      <c r="DA9" s="54"/>
      <c r="DB9" s="54"/>
      <c r="DC9" s="54"/>
      <c r="DD9" s="54"/>
      <c r="DE9" s="54"/>
      <c r="DF9" s="54"/>
      <c r="DG9" s="54"/>
      <c r="DH9" s="54"/>
      <c r="DI9" s="54"/>
      <c r="DJ9" s="54"/>
      <c r="DK9" s="54"/>
    </row>
    <row r="10" spans="1:147" ht="14.25" customHeight="1" x14ac:dyDescent="0.5">
      <c r="A10" s="37"/>
      <c r="B10" s="67" t="s">
        <v>53</v>
      </c>
      <c r="C10" s="68"/>
      <c r="D10" s="69"/>
      <c r="E10" s="38"/>
      <c r="K10" s="70"/>
      <c r="L10" s="70"/>
      <c r="M10" s="70"/>
      <c r="N10" s="70"/>
      <c r="O10" s="70"/>
      <c r="P10" s="70"/>
      <c r="Q10" s="71"/>
      <c r="R10" s="70"/>
      <c r="S10" s="70"/>
      <c r="T10" s="70"/>
      <c r="U10" s="70"/>
      <c r="V10" s="70"/>
      <c r="BQ10" s="71"/>
      <c r="BS10" s="38"/>
      <c r="CD10" s="24"/>
      <c r="CQ10" s="49"/>
    </row>
    <row r="11" spans="1:147" ht="14.25" customHeight="1" x14ac:dyDescent="0.4">
      <c r="A11" s="37"/>
      <c r="C11" s="24"/>
      <c r="K11" s="70"/>
      <c r="L11" s="70"/>
      <c r="M11" s="72"/>
      <c r="N11" s="72"/>
      <c r="O11" s="70"/>
      <c r="P11" s="70"/>
      <c r="Q11" s="71"/>
      <c r="R11" s="70"/>
      <c r="S11" s="70"/>
      <c r="T11" s="72"/>
      <c r="U11" s="70"/>
      <c r="V11" s="70"/>
      <c r="BQ11" s="71"/>
      <c r="BS11" s="38"/>
      <c r="CD11" s="24"/>
      <c r="CQ11" s="49"/>
    </row>
    <row r="12" spans="1:147" ht="14.25" customHeight="1" x14ac:dyDescent="0.5">
      <c r="A12" s="37"/>
      <c r="B12" s="73"/>
      <c r="C12" s="73"/>
      <c r="D12" s="73"/>
      <c r="E12" s="73"/>
      <c r="F12" s="73"/>
      <c r="K12" s="70"/>
      <c r="L12" s="70"/>
      <c r="M12" s="70"/>
      <c r="N12" s="70"/>
      <c r="O12" s="70"/>
      <c r="P12" s="70"/>
      <c r="Q12" s="71"/>
      <c r="R12" s="70"/>
      <c r="S12" s="70"/>
      <c r="T12" s="70"/>
      <c r="U12" s="70"/>
      <c r="V12" s="70"/>
      <c r="W12" s="70"/>
      <c r="X12" s="70"/>
      <c r="Y12" s="70"/>
      <c r="Z12" s="70"/>
      <c r="AA12" s="70"/>
      <c r="AB12" s="70"/>
      <c r="AC12" s="70"/>
      <c r="AD12" s="71"/>
      <c r="AE12" s="70"/>
      <c r="AF12" s="70"/>
      <c r="AG12" s="70"/>
      <c r="AH12" s="70"/>
      <c r="AI12" s="70"/>
      <c r="AJ12" s="70"/>
      <c r="AK12" s="70"/>
      <c r="AL12" s="70"/>
      <c r="AM12" s="70"/>
      <c r="AN12" s="70"/>
      <c r="AO12" s="70"/>
      <c r="AP12" s="70"/>
      <c r="AQ12" s="71"/>
      <c r="AR12" s="70"/>
      <c r="AS12" s="70"/>
      <c r="AT12" s="70"/>
      <c r="AU12" s="70"/>
      <c r="AW12" s="70"/>
      <c r="AX12" s="70"/>
      <c r="AY12" s="70"/>
      <c r="AZ12" s="70"/>
      <c r="BA12" s="70"/>
      <c r="BB12" s="70"/>
      <c r="BC12" s="70"/>
      <c r="BD12" s="71"/>
      <c r="BE12" s="70"/>
      <c r="BF12" s="70"/>
      <c r="BG12" s="70"/>
      <c r="BH12" s="70"/>
      <c r="BI12" s="70"/>
      <c r="BJ12" s="70"/>
      <c r="BK12" s="70"/>
      <c r="BL12" s="70"/>
      <c r="BM12" s="70"/>
      <c r="BN12" s="70"/>
      <c r="BO12" s="70"/>
      <c r="BP12" s="70"/>
      <c r="BQ12" s="71"/>
      <c r="BS12" s="38"/>
      <c r="CD12" s="24"/>
      <c r="CQ12" s="49"/>
    </row>
    <row r="13" spans="1:147" ht="14.25" customHeight="1" x14ac:dyDescent="0.4">
      <c r="A13" s="37"/>
      <c r="B13" s="74" t="s">
        <v>54</v>
      </c>
      <c r="C13" s="75"/>
      <c r="D13" s="75"/>
      <c r="E13" s="75"/>
      <c r="F13" s="75"/>
      <c r="G13" s="75"/>
      <c r="H13" s="75"/>
      <c r="I13" s="75"/>
      <c r="J13" s="75"/>
      <c r="K13" s="75"/>
      <c r="L13" s="75"/>
      <c r="M13" s="75"/>
      <c r="N13" s="75"/>
      <c r="O13" s="75"/>
      <c r="P13" s="75"/>
      <c r="Q13" s="557"/>
      <c r="R13" s="75">
        <v>5</v>
      </c>
      <c r="S13" s="75">
        <v>5</v>
      </c>
      <c r="T13" s="75"/>
      <c r="U13" s="75"/>
      <c r="V13" s="75">
        <v>5</v>
      </c>
      <c r="W13" s="75">
        <v>5</v>
      </c>
      <c r="X13" s="75">
        <v>5</v>
      </c>
      <c r="Y13" s="75">
        <v>5</v>
      </c>
      <c r="Z13" s="75">
        <v>5</v>
      </c>
      <c r="AA13" s="75">
        <v>5</v>
      </c>
      <c r="AB13" s="75">
        <v>5</v>
      </c>
      <c r="AC13" s="75">
        <v>5</v>
      </c>
      <c r="AD13" s="557"/>
      <c r="AE13" s="75">
        <v>5</v>
      </c>
      <c r="AF13" s="75">
        <v>5</v>
      </c>
      <c r="AG13" s="75">
        <v>5</v>
      </c>
      <c r="AH13" s="75">
        <v>5</v>
      </c>
      <c r="AI13" s="75">
        <v>5</v>
      </c>
      <c r="AJ13" s="75">
        <v>5</v>
      </c>
      <c r="AK13" s="75">
        <v>5</v>
      </c>
      <c r="AL13" s="75">
        <v>5</v>
      </c>
      <c r="AM13" s="75">
        <v>5</v>
      </c>
      <c r="AN13" s="75">
        <v>5</v>
      </c>
      <c r="AO13" s="75"/>
      <c r="AP13" s="75"/>
      <c r="AQ13" s="557"/>
      <c r="AR13" s="75"/>
      <c r="AS13" s="75">
        <v>5</v>
      </c>
      <c r="AT13" s="75"/>
      <c r="AU13" s="75">
        <v>5</v>
      </c>
      <c r="AV13" s="75"/>
      <c r="AW13" s="75">
        <v>5</v>
      </c>
      <c r="AX13" s="75"/>
      <c r="AY13" s="75">
        <v>5</v>
      </c>
      <c r="AZ13" s="75"/>
      <c r="BA13" s="75">
        <v>5</v>
      </c>
      <c r="BB13" s="75"/>
      <c r="BC13" s="75">
        <v>5</v>
      </c>
      <c r="BD13" s="557"/>
      <c r="BE13" s="75"/>
      <c r="BF13" s="75">
        <v>5</v>
      </c>
      <c r="BG13" s="75"/>
      <c r="BH13" s="75">
        <v>5</v>
      </c>
      <c r="BI13" s="75"/>
      <c r="BJ13" s="75"/>
      <c r="BK13" s="75"/>
      <c r="BL13" s="75"/>
      <c r="BM13" s="75"/>
      <c r="BN13" s="75"/>
      <c r="BO13" s="75"/>
      <c r="BP13" s="75"/>
      <c r="BQ13" s="557"/>
      <c r="BR13" s="75"/>
      <c r="BS13" s="75"/>
      <c r="BT13" s="75"/>
      <c r="BU13" s="75"/>
      <c r="BV13" s="75"/>
      <c r="BW13" s="75"/>
      <c r="BX13" s="75"/>
      <c r="BY13" s="75"/>
      <c r="BZ13" s="75"/>
      <c r="CA13" s="75"/>
      <c r="CB13" s="75"/>
      <c r="CC13" s="75"/>
      <c r="CD13" s="557"/>
      <c r="CE13" s="75"/>
      <c r="CF13" s="75"/>
      <c r="CG13" s="75"/>
      <c r="CH13" s="75"/>
      <c r="CI13" s="75"/>
      <c r="CJ13" s="75"/>
      <c r="CK13" s="75"/>
      <c r="CL13" s="75"/>
      <c r="CM13" s="75"/>
      <c r="CN13" s="75"/>
      <c r="CO13" s="75"/>
      <c r="CP13" s="548"/>
      <c r="CQ13" s="76"/>
      <c r="CR13" s="70"/>
      <c r="CS13" s="70"/>
      <c r="CT13" s="70"/>
      <c r="CU13" s="70"/>
      <c r="CV13" s="70"/>
      <c r="CW13" s="70"/>
      <c r="CX13" s="70"/>
      <c r="CY13" s="70"/>
      <c r="CZ13" s="70"/>
      <c r="DA13" s="70"/>
      <c r="DB13" s="70"/>
      <c r="DC13" s="70"/>
      <c r="DD13" s="70"/>
      <c r="DE13" s="70"/>
      <c r="DF13" s="70"/>
      <c r="DG13" s="70"/>
      <c r="DH13" s="70"/>
      <c r="DI13" s="70"/>
      <c r="DJ13" s="70"/>
      <c r="DK13" s="70"/>
    </row>
    <row r="14" spans="1:147" s="534" customFormat="1" ht="14.25" customHeight="1" x14ac:dyDescent="0.4">
      <c r="A14" s="531"/>
      <c r="B14" s="594" t="s">
        <v>55</v>
      </c>
      <c r="C14" s="532"/>
      <c r="D14" s="532"/>
      <c r="E14" s="532"/>
      <c r="F14" s="532"/>
      <c r="G14" s="532"/>
      <c r="H14" s="532"/>
      <c r="I14" s="532"/>
      <c r="J14" s="532"/>
      <c r="K14" s="532"/>
      <c r="L14" s="532"/>
      <c r="M14" s="532"/>
      <c r="N14" s="532"/>
      <c r="O14" s="533"/>
      <c r="P14" s="533"/>
      <c r="Q14" s="532"/>
      <c r="R14" s="533">
        <f>P14+R13</f>
        <v>5</v>
      </c>
      <c r="S14" s="533">
        <f t="shared" ref="S14:AC14" si="0">R14+S13</f>
        <v>10</v>
      </c>
      <c r="T14" s="533">
        <f t="shared" si="0"/>
        <v>10</v>
      </c>
      <c r="U14" s="533">
        <f t="shared" si="0"/>
        <v>10</v>
      </c>
      <c r="V14" s="533">
        <f t="shared" si="0"/>
        <v>15</v>
      </c>
      <c r="W14" s="533">
        <f t="shared" si="0"/>
        <v>20</v>
      </c>
      <c r="X14" s="533">
        <f t="shared" si="0"/>
        <v>25</v>
      </c>
      <c r="Y14" s="533">
        <f t="shared" si="0"/>
        <v>30</v>
      </c>
      <c r="Z14" s="533">
        <f t="shared" si="0"/>
        <v>35</v>
      </c>
      <c r="AA14" s="533">
        <f t="shared" si="0"/>
        <v>40</v>
      </c>
      <c r="AB14" s="533">
        <f t="shared" si="0"/>
        <v>45</v>
      </c>
      <c r="AC14" s="533">
        <f t="shared" si="0"/>
        <v>50</v>
      </c>
      <c r="AD14" s="532"/>
      <c r="AE14" s="533">
        <f>AC14+AE13</f>
        <v>55</v>
      </c>
      <c r="AF14" s="533">
        <f t="shared" ref="AF14:AP14" si="1">AE14+AF13</f>
        <v>60</v>
      </c>
      <c r="AG14" s="533">
        <f t="shared" si="1"/>
        <v>65</v>
      </c>
      <c r="AH14" s="533">
        <f t="shared" si="1"/>
        <v>70</v>
      </c>
      <c r="AI14" s="533">
        <f t="shared" si="1"/>
        <v>75</v>
      </c>
      <c r="AJ14" s="533">
        <f t="shared" si="1"/>
        <v>80</v>
      </c>
      <c r="AK14" s="533">
        <f t="shared" si="1"/>
        <v>85</v>
      </c>
      <c r="AL14" s="533">
        <f t="shared" si="1"/>
        <v>90</v>
      </c>
      <c r="AM14" s="533">
        <f t="shared" si="1"/>
        <v>95</v>
      </c>
      <c r="AN14" s="533">
        <f t="shared" si="1"/>
        <v>100</v>
      </c>
      <c r="AO14" s="533">
        <f t="shared" si="1"/>
        <v>100</v>
      </c>
      <c r="AP14" s="533">
        <f t="shared" si="1"/>
        <v>100</v>
      </c>
      <c r="AQ14" s="532"/>
      <c r="AR14" s="533">
        <f>AP14+AR13</f>
        <v>100</v>
      </c>
      <c r="AS14" s="533">
        <f t="shared" ref="AS14:BC14" si="2">AR14+AS13</f>
        <v>105</v>
      </c>
      <c r="AT14" s="533">
        <f t="shared" si="2"/>
        <v>105</v>
      </c>
      <c r="AU14" s="533">
        <f t="shared" si="2"/>
        <v>110</v>
      </c>
      <c r="AV14" s="533">
        <f t="shared" si="2"/>
        <v>110</v>
      </c>
      <c r="AW14" s="533">
        <f t="shared" si="2"/>
        <v>115</v>
      </c>
      <c r="AX14" s="533">
        <f t="shared" si="2"/>
        <v>115</v>
      </c>
      <c r="AY14" s="533">
        <f t="shared" si="2"/>
        <v>120</v>
      </c>
      <c r="AZ14" s="533">
        <f t="shared" si="2"/>
        <v>120</v>
      </c>
      <c r="BA14" s="533">
        <f t="shared" si="2"/>
        <v>125</v>
      </c>
      <c r="BB14" s="533">
        <f t="shared" si="2"/>
        <v>125</v>
      </c>
      <c r="BC14" s="533">
        <f t="shared" si="2"/>
        <v>130</v>
      </c>
      <c r="BD14" s="532"/>
      <c r="BE14" s="533">
        <f>BC14+BE13</f>
        <v>130</v>
      </c>
      <c r="BF14" s="533">
        <f t="shared" ref="BF14:CP14" si="3">BE14+BF13</f>
        <v>135</v>
      </c>
      <c r="BG14" s="533">
        <f t="shared" si="3"/>
        <v>135</v>
      </c>
      <c r="BH14" s="533">
        <f t="shared" si="3"/>
        <v>140</v>
      </c>
      <c r="BI14" s="533">
        <f t="shared" si="3"/>
        <v>140</v>
      </c>
      <c r="BJ14" s="533">
        <f t="shared" si="3"/>
        <v>140</v>
      </c>
      <c r="BK14" s="533">
        <f t="shared" si="3"/>
        <v>140</v>
      </c>
      <c r="BL14" s="533">
        <f t="shared" si="3"/>
        <v>140</v>
      </c>
      <c r="BM14" s="533">
        <f t="shared" si="3"/>
        <v>140</v>
      </c>
      <c r="BN14" s="533">
        <f t="shared" si="3"/>
        <v>140</v>
      </c>
      <c r="BO14" s="533">
        <f t="shared" si="3"/>
        <v>140</v>
      </c>
      <c r="BP14" s="533">
        <f t="shared" si="3"/>
        <v>140</v>
      </c>
      <c r="BQ14" s="532">
        <f t="shared" si="3"/>
        <v>140</v>
      </c>
      <c r="BR14" s="533">
        <f t="shared" si="3"/>
        <v>140</v>
      </c>
      <c r="BS14" s="533">
        <f t="shared" si="3"/>
        <v>140</v>
      </c>
      <c r="BT14" s="533">
        <f t="shared" si="3"/>
        <v>140</v>
      </c>
      <c r="BU14" s="533">
        <f t="shared" si="3"/>
        <v>140</v>
      </c>
      <c r="BV14" s="533">
        <f t="shared" si="3"/>
        <v>140</v>
      </c>
      <c r="BW14" s="533">
        <f t="shared" si="3"/>
        <v>140</v>
      </c>
      <c r="BX14" s="533">
        <f t="shared" si="3"/>
        <v>140</v>
      </c>
      <c r="BY14" s="533">
        <f t="shared" si="3"/>
        <v>140</v>
      </c>
      <c r="BZ14" s="533">
        <f t="shared" si="3"/>
        <v>140</v>
      </c>
      <c r="CA14" s="533">
        <f t="shared" si="3"/>
        <v>140</v>
      </c>
      <c r="CB14" s="533">
        <f t="shared" si="3"/>
        <v>140</v>
      </c>
      <c r="CC14" s="533">
        <f t="shared" si="3"/>
        <v>140</v>
      </c>
      <c r="CD14" s="532">
        <f t="shared" si="3"/>
        <v>140</v>
      </c>
      <c r="CE14" s="533">
        <f t="shared" si="3"/>
        <v>140</v>
      </c>
      <c r="CF14" s="533">
        <f t="shared" si="3"/>
        <v>140</v>
      </c>
      <c r="CG14" s="533">
        <f t="shared" si="3"/>
        <v>140</v>
      </c>
      <c r="CH14" s="533">
        <f t="shared" si="3"/>
        <v>140</v>
      </c>
      <c r="CI14" s="533">
        <f t="shared" si="3"/>
        <v>140</v>
      </c>
      <c r="CJ14" s="533">
        <f t="shared" si="3"/>
        <v>140</v>
      </c>
      <c r="CK14" s="533">
        <f t="shared" si="3"/>
        <v>140</v>
      </c>
      <c r="CL14" s="533">
        <f t="shared" si="3"/>
        <v>140</v>
      </c>
      <c r="CM14" s="533">
        <f t="shared" si="3"/>
        <v>140</v>
      </c>
      <c r="CN14" s="533">
        <f t="shared" si="3"/>
        <v>140</v>
      </c>
      <c r="CO14" s="533">
        <f t="shared" si="3"/>
        <v>140</v>
      </c>
      <c r="CP14" s="549">
        <f t="shared" si="3"/>
        <v>140</v>
      </c>
      <c r="CQ14" s="533"/>
      <c r="CR14" s="531"/>
      <c r="CS14" s="531"/>
      <c r="CT14" s="531"/>
      <c r="CU14" s="531"/>
      <c r="CV14" s="531"/>
      <c r="CW14" s="531"/>
      <c r="CX14" s="531"/>
      <c r="CY14" s="531"/>
      <c r="CZ14" s="531"/>
      <c r="DA14" s="531"/>
      <c r="DB14" s="531"/>
      <c r="DC14" s="531"/>
      <c r="DD14" s="531"/>
      <c r="DE14" s="531"/>
      <c r="DF14" s="531"/>
      <c r="DG14" s="531"/>
      <c r="DH14" s="531"/>
      <c r="DI14" s="531"/>
      <c r="DJ14" s="531"/>
      <c r="DK14" s="531"/>
    </row>
    <row r="15" spans="1:147" s="512" customFormat="1" ht="14.6" x14ac:dyDescent="0.4">
      <c r="A15" s="505"/>
      <c r="B15" s="506" t="s">
        <v>669</v>
      </c>
      <c r="C15" s="507"/>
      <c r="D15" s="507"/>
      <c r="E15" s="507"/>
      <c r="F15" s="507"/>
      <c r="G15" s="507"/>
      <c r="H15" s="507"/>
      <c r="I15" s="508">
        <v>0</v>
      </c>
      <c r="J15" s="507"/>
      <c r="K15" s="507"/>
      <c r="L15" s="507">
        <v>2</v>
      </c>
      <c r="M15" s="507"/>
      <c r="N15" s="507">
        <v>3</v>
      </c>
      <c r="O15" s="507"/>
      <c r="P15" s="507">
        <v>5</v>
      </c>
      <c r="Q15" s="507"/>
      <c r="R15" s="507"/>
      <c r="S15" s="507"/>
      <c r="T15" s="507">
        <v>5</v>
      </c>
      <c r="U15" s="507">
        <v>5</v>
      </c>
      <c r="V15" s="507">
        <v>5</v>
      </c>
      <c r="W15" s="507">
        <v>5</v>
      </c>
      <c r="X15" s="507">
        <v>5</v>
      </c>
      <c r="Y15" s="507">
        <v>5</v>
      </c>
      <c r="Z15" s="507">
        <v>5</v>
      </c>
      <c r="AA15" s="507">
        <v>5</v>
      </c>
      <c r="AB15" s="507">
        <v>5</v>
      </c>
      <c r="AC15" s="507">
        <v>5</v>
      </c>
      <c r="AD15" s="507"/>
      <c r="AE15" s="507">
        <v>5</v>
      </c>
      <c r="AF15" s="507">
        <v>5</v>
      </c>
      <c r="AG15" s="507">
        <v>5</v>
      </c>
      <c r="AH15" s="507">
        <v>5</v>
      </c>
      <c r="AI15" s="507">
        <v>5</v>
      </c>
      <c r="AJ15" s="507">
        <v>5</v>
      </c>
      <c r="AK15" s="507">
        <v>5</v>
      </c>
      <c r="AL15" s="507">
        <v>5</v>
      </c>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c r="BR15" s="507"/>
      <c r="BS15" s="507"/>
      <c r="BT15" s="507"/>
      <c r="BU15" s="507"/>
      <c r="BV15" s="507"/>
      <c r="BW15" s="507"/>
      <c r="BX15" s="507"/>
      <c r="BY15" s="507"/>
      <c r="BZ15" s="507"/>
      <c r="CA15" s="507"/>
      <c r="CB15" s="507"/>
      <c r="CC15" s="507"/>
      <c r="CD15" s="507"/>
      <c r="CE15" s="507"/>
      <c r="CF15" s="507"/>
      <c r="CG15" s="507"/>
      <c r="CH15" s="507"/>
      <c r="CI15" s="507"/>
      <c r="CJ15" s="509"/>
      <c r="CK15" s="509"/>
      <c r="CL15" s="509"/>
      <c r="CM15" s="509"/>
      <c r="CN15" s="509"/>
      <c r="CO15" s="509"/>
      <c r="CP15" s="577"/>
      <c r="CQ15" s="510"/>
      <c r="CR15" s="511"/>
      <c r="CS15" s="511"/>
      <c r="CT15" s="511"/>
      <c r="CU15" s="511"/>
      <c r="CV15" s="511"/>
      <c r="CW15" s="511"/>
      <c r="CX15" s="511"/>
      <c r="CY15" s="511"/>
      <c r="CZ15" s="511"/>
      <c r="DA15" s="511"/>
      <c r="DB15" s="511"/>
      <c r="DC15" s="511"/>
      <c r="DD15" s="511"/>
      <c r="DE15" s="511"/>
      <c r="DF15" s="511"/>
      <c r="DG15" s="511"/>
      <c r="DH15" s="511"/>
      <c r="DI15" s="511"/>
      <c r="DJ15" s="511"/>
      <c r="DK15" s="511"/>
      <c r="DL15" s="511"/>
      <c r="DM15" s="511"/>
      <c r="DN15" s="511"/>
      <c r="DO15" s="511"/>
      <c r="DP15" s="511"/>
      <c r="DQ15" s="511"/>
      <c r="DR15" s="511"/>
      <c r="DS15" s="511"/>
      <c r="DT15" s="511"/>
      <c r="DU15" s="511"/>
      <c r="DV15" s="511"/>
      <c r="DW15" s="511"/>
      <c r="DX15" s="511"/>
      <c r="DY15" s="511"/>
      <c r="DZ15" s="511"/>
      <c r="EA15" s="511"/>
      <c r="EB15" s="511"/>
      <c r="EC15" s="511"/>
      <c r="ED15" s="511"/>
      <c r="EE15" s="511"/>
      <c r="EF15" s="511"/>
      <c r="EG15" s="511"/>
      <c r="EH15" s="511"/>
      <c r="EI15" s="511"/>
      <c r="EJ15" s="511"/>
      <c r="EK15" s="511"/>
      <c r="EL15" s="511"/>
      <c r="EM15" s="511"/>
      <c r="EN15" s="511"/>
      <c r="EO15" s="511"/>
      <c r="EP15" s="511"/>
      <c r="EQ15" s="511"/>
    </row>
    <row r="16" spans="1:147" s="512" customFormat="1" ht="14.6" x14ac:dyDescent="0.4">
      <c r="A16" s="505"/>
      <c r="B16" s="506" t="s">
        <v>668</v>
      </c>
      <c r="C16" s="507"/>
      <c r="D16" s="507"/>
      <c r="E16" s="507"/>
      <c r="F16" s="507"/>
      <c r="G16" s="507"/>
      <c r="H16" s="507"/>
      <c r="I16" s="508">
        <v>0</v>
      </c>
      <c r="J16" s="507"/>
      <c r="K16" s="507"/>
      <c r="L16" s="507">
        <f t="shared" ref="L16:P16" si="4">K16+L15</f>
        <v>2</v>
      </c>
      <c r="M16" s="507">
        <f t="shared" si="4"/>
        <v>2</v>
      </c>
      <c r="N16" s="507">
        <f t="shared" si="4"/>
        <v>5</v>
      </c>
      <c r="O16" s="507">
        <f t="shared" si="4"/>
        <v>5</v>
      </c>
      <c r="P16" s="507">
        <f t="shared" si="4"/>
        <v>10</v>
      </c>
      <c r="Q16" s="507"/>
      <c r="R16" s="507">
        <f>P16+R15</f>
        <v>10</v>
      </c>
      <c r="S16" s="507">
        <f>R16+S15</f>
        <v>10</v>
      </c>
      <c r="T16" s="507">
        <f>S16+T15</f>
        <v>15</v>
      </c>
      <c r="U16" s="507">
        <f t="shared" ref="U16:AA16" si="5">T16+U15</f>
        <v>20</v>
      </c>
      <c r="V16" s="507">
        <f t="shared" si="5"/>
        <v>25</v>
      </c>
      <c r="W16" s="507">
        <f t="shared" si="5"/>
        <v>30</v>
      </c>
      <c r="X16" s="507">
        <f t="shared" si="5"/>
        <v>35</v>
      </c>
      <c r="Y16" s="507">
        <f t="shared" si="5"/>
        <v>40</v>
      </c>
      <c r="Z16" s="507">
        <f t="shared" si="5"/>
        <v>45</v>
      </c>
      <c r="AA16" s="507">
        <f t="shared" si="5"/>
        <v>50</v>
      </c>
      <c r="AB16" s="507">
        <f t="shared" ref="AB16" si="6">AA16+AB15</f>
        <v>55</v>
      </c>
      <c r="AC16" s="507">
        <f t="shared" ref="AC16" si="7">AB16+AC15</f>
        <v>60</v>
      </c>
      <c r="AD16" s="507">
        <f t="shared" ref="AD16" si="8">AC16+AD15</f>
        <v>60</v>
      </c>
      <c r="AE16" s="507">
        <f>AC16+AE15</f>
        <v>65</v>
      </c>
      <c r="AF16" s="507">
        <f>AE16+AF15</f>
        <v>70</v>
      </c>
      <c r="AG16" s="507">
        <f t="shared" ref="AG16:AP16" si="9">AF16+AG15</f>
        <v>75</v>
      </c>
      <c r="AH16" s="507">
        <f t="shared" si="9"/>
        <v>80</v>
      </c>
      <c r="AI16" s="507">
        <f t="shared" si="9"/>
        <v>85</v>
      </c>
      <c r="AJ16" s="507">
        <f t="shared" si="9"/>
        <v>90</v>
      </c>
      <c r="AK16" s="507">
        <f t="shared" si="9"/>
        <v>95</v>
      </c>
      <c r="AL16" s="507">
        <f t="shared" si="9"/>
        <v>100</v>
      </c>
      <c r="AM16" s="507">
        <f t="shared" si="9"/>
        <v>100</v>
      </c>
      <c r="AN16" s="507">
        <f t="shared" si="9"/>
        <v>100</v>
      </c>
      <c r="AO16" s="507">
        <f t="shared" si="9"/>
        <v>100</v>
      </c>
      <c r="AP16" s="507">
        <f t="shared" si="9"/>
        <v>100</v>
      </c>
      <c r="AQ16" s="507"/>
      <c r="AR16" s="507">
        <f>AP16+AR15</f>
        <v>100</v>
      </c>
      <c r="AS16" s="507">
        <f>AR16+AS15</f>
        <v>100</v>
      </c>
      <c r="AT16" s="507">
        <f t="shared" ref="AT16" si="10">AS16+AT15</f>
        <v>100</v>
      </c>
      <c r="AU16" s="507">
        <f t="shared" ref="AU16" si="11">AT16+AU15</f>
        <v>100</v>
      </c>
      <c r="AV16" s="507">
        <f t="shared" ref="AV16" si="12">AU16+AV15</f>
        <v>100</v>
      </c>
      <c r="AW16" s="507">
        <f t="shared" ref="AW16" si="13">AV16+AW15</f>
        <v>100</v>
      </c>
      <c r="AX16" s="507">
        <f t="shared" ref="AX16" si="14">AW16+AX15</f>
        <v>100</v>
      </c>
      <c r="AY16" s="507">
        <f t="shared" ref="AY16" si="15">AX16+AY15</f>
        <v>100</v>
      </c>
      <c r="AZ16" s="507">
        <f t="shared" ref="AZ16" si="16">AY16+AZ15</f>
        <v>100</v>
      </c>
      <c r="BA16" s="507">
        <f t="shared" ref="BA16" si="17">AZ16+BA15</f>
        <v>100</v>
      </c>
      <c r="BB16" s="507">
        <f t="shared" ref="BB16" si="18">BA16+BB15</f>
        <v>100</v>
      </c>
      <c r="BC16" s="507">
        <f t="shared" ref="BC16" si="19">BB16+BC15</f>
        <v>100</v>
      </c>
      <c r="BD16" s="507"/>
      <c r="BE16" s="507">
        <f>BC16+BE15</f>
        <v>100</v>
      </c>
      <c r="BF16" s="507">
        <f>BE16+BF15</f>
        <v>100</v>
      </c>
      <c r="BG16" s="507">
        <f t="shared" ref="BG16" si="20">BF16+BG15</f>
        <v>100</v>
      </c>
      <c r="BH16" s="507">
        <f t="shared" ref="BH16" si="21">BG16+BH15</f>
        <v>100</v>
      </c>
      <c r="BI16" s="507">
        <f t="shared" ref="BI16" si="22">BH16+BI15</f>
        <v>100</v>
      </c>
      <c r="BJ16" s="507">
        <f t="shared" ref="BJ16" si="23">BI16+BJ15</f>
        <v>100</v>
      </c>
      <c r="BK16" s="507">
        <f t="shared" ref="BK16" si="24">BJ16+BK15</f>
        <v>100</v>
      </c>
      <c r="BL16" s="507">
        <f t="shared" ref="BL16" si="25">BK16+BL15</f>
        <v>100</v>
      </c>
      <c r="BM16" s="507">
        <f t="shared" ref="BM16" si="26">BL16+BM15</f>
        <v>100</v>
      </c>
      <c r="BN16" s="507">
        <f t="shared" ref="BN16" si="27">BM16+BN15</f>
        <v>100</v>
      </c>
      <c r="BO16" s="507">
        <f t="shared" ref="BO16" si="28">BN16+BO15</f>
        <v>100</v>
      </c>
      <c r="BP16" s="507">
        <f t="shared" ref="BP16" si="29">BO16+BP15</f>
        <v>100</v>
      </c>
      <c r="BQ16" s="507"/>
      <c r="BR16" s="507">
        <f>BP16+BR15</f>
        <v>100</v>
      </c>
      <c r="BS16" s="507">
        <f>BR16+BS15</f>
        <v>100</v>
      </c>
      <c r="BT16" s="507">
        <f t="shared" ref="BT16" si="30">BS16+BT15</f>
        <v>100</v>
      </c>
      <c r="BU16" s="507">
        <f t="shared" ref="BU16" si="31">BT16+BU15</f>
        <v>100</v>
      </c>
      <c r="BV16" s="507">
        <f t="shared" ref="BV16" si="32">BU16+BV15</f>
        <v>100</v>
      </c>
      <c r="BW16" s="507">
        <f t="shared" ref="BW16" si="33">BV16+BW15</f>
        <v>100</v>
      </c>
      <c r="BX16" s="507">
        <f t="shared" ref="BX16" si="34">BW16+BX15</f>
        <v>100</v>
      </c>
      <c r="BY16" s="507">
        <f t="shared" ref="BY16" si="35">BX16+BY15</f>
        <v>100</v>
      </c>
      <c r="BZ16" s="507">
        <f t="shared" ref="BZ16" si="36">BY16+BZ15</f>
        <v>100</v>
      </c>
      <c r="CA16" s="507">
        <f t="shared" ref="CA16" si="37">BZ16+CA15</f>
        <v>100</v>
      </c>
      <c r="CB16" s="507">
        <f t="shared" ref="CB16" si="38">CA16+CB15</f>
        <v>100</v>
      </c>
      <c r="CC16" s="507">
        <f t="shared" ref="CC16" si="39">CB16+CC15</f>
        <v>100</v>
      </c>
      <c r="CD16" s="507"/>
      <c r="CE16" s="507">
        <f>CC16+CE15</f>
        <v>100</v>
      </c>
      <c r="CF16" s="507">
        <f>CE16+CF15</f>
        <v>100</v>
      </c>
      <c r="CG16" s="507">
        <f t="shared" ref="CG16" si="40">CF16+CG15</f>
        <v>100</v>
      </c>
      <c r="CH16" s="507">
        <f t="shared" ref="CH16" si="41">CG16+CH15</f>
        <v>100</v>
      </c>
      <c r="CI16" s="507">
        <f t="shared" ref="CI16" si="42">CH16+CI15</f>
        <v>100</v>
      </c>
      <c r="CJ16" s="507">
        <f t="shared" ref="CJ16" si="43">CI16+CJ15</f>
        <v>100</v>
      </c>
      <c r="CK16" s="507">
        <f t="shared" ref="CK16" si="44">CJ16+CK15</f>
        <v>100</v>
      </c>
      <c r="CL16" s="507">
        <f t="shared" ref="CL16" si="45">CK16+CL15</f>
        <v>100</v>
      </c>
      <c r="CM16" s="507">
        <f t="shared" ref="CM16" si="46">CL16+CM15</f>
        <v>100</v>
      </c>
      <c r="CN16" s="507">
        <f t="shared" ref="CN16" si="47">CM16+CN15</f>
        <v>100</v>
      </c>
      <c r="CO16" s="507">
        <f t="shared" ref="CO16" si="48">CN16+CO15</f>
        <v>100</v>
      </c>
      <c r="CP16" s="550">
        <f t="shared" ref="CP16" si="49">CO16+CP15</f>
        <v>100</v>
      </c>
      <c r="CQ16" s="510"/>
      <c r="CR16" s="511"/>
      <c r="CS16" s="511"/>
      <c r="CT16" s="511"/>
      <c r="CU16" s="511"/>
      <c r="CV16" s="511"/>
      <c r="CW16" s="511"/>
      <c r="CX16" s="511"/>
      <c r="CY16" s="511"/>
      <c r="CZ16" s="511"/>
      <c r="DA16" s="511"/>
      <c r="DB16" s="511"/>
      <c r="DC16" s="511"/>
      <c r="DD16" s="511"/>
      <c r="DE16" s="511"/>
      <c r="DF16" s="511"/>
      <c r="DG16" s="511"/>
      <c r="DH16" s="511"/>
      <c r="DI16" s="511"/>
      <c r="DJ16" s="511"/>
      <c r="DK16" s="511"/>
      <c r="DL16" s="511"/>
      <c r="DM16" s="511"/>
      <c r="DN16" s="511"/>
      <c r="DO16" s="511"/>
      <c r="DP16" s="511"/>
      <c r="DQ16" s="511"/>
      <c r="DR16" s="511"/>
      <c r="DS16" s="511"/>
      <c r="DT16" s="511"/>
      <c r="DU16" s="511"/>
      <c r="DV16" s="511"/>
      <c r="DW16" s="511"/>
      <c r="DX16" s="511"/>
      <c r="DY16" s="511"/>
      <c r="DZ16" s="511"/>
      <c r="EA16" s="511"/>
      <c r="EB16" s="511"/>
      <c r="EC16" s="511"/>
      <c r="ED16" s="511"/>
      <c r="EE16" s="511"/>
      <c r="EF16" s="511"/>
      <c r="EG16" s="511"/>
      <c r="EH16" s="511"/>
      <c r="EI16" s="511"/>
      <c r="EJ16" s="511"/>
      <c r="EK16" s="511"/>
      <c r="EL16" s="511"/>
      <c r="EM16" s="511"/>
      <c r="EN16" s="511"/>
      <c r="EO16" s="511"/>
      <c r="EP16" s="511"/>
      <c r="EQ16" s="511"/>
    </row>
    <row r="17" spans="1:147" s="512" customFormat="1" ht="14.6" x14ac:dyDescent="0.4">
      <c r="A17" s="505"/>
      <c r="B17" s="513" t="s">
        <v>667</v>
      </c>
      <c r="C17" s="514"/>
      <c r="D17" s="514"/>
      <c r="E17" s="514"/>
      <c r="F17" s="514"/>
      <c r="G17" s="514"/>
      <c r="H17" s="515">
        <f>H14</f>
        <v>0</v>
      </c>
      <c r="I17" s="514"/>
      <c r="J17" s="514"/>
      <c r="K17" s="514">
        <v>2</v>
      </c>
      <c r="L17" s="514"/>
      <c r="M17" s="514">
        <v>3</v>
      </c>
      <c r="N17" s="514"/>
      <c r="O17" s="514">
        <v>5</v>
      </c>
      <c r="P17" s="514"/>
      <c r="Q17" s="514"/>
      <c r="R17" s="514"/>
      <c r="S17" s="514">
        <v>5</v>
      </c>
      <c r="T17" s="514">
        <v>5</v>
      </c>
      <c r="U17" s="514">
        <v>5</v>
      </c>
      <c r="V17" s="79">
        <v>5</v>
      </c>
      <c r="W17" s="79">
        <v>5</v>
      </c>
      <c r="X17" s="79">
        <v>5</v>
      </c>
      <c r="Y17" s="79">
        <v>5</v>
      </c>
      <c r="Z17" s="79">
        <v>5</v>
      </c>
      <c r="AA17" s="514">
        <v>5</v>
      </c>
      <c r="AB17" s="514">
        <v>5</v>
      </c>
      <c r="AC17" s="514">
        <v>5</v>
      </c>
      <c r="AD17" s="514"/>
      <c r="AE17" s="514">
        <v>5</v>
      </c>
      <c r="AF17" s="514">
        <v>5</v>
      </c>
      <c r="AG17" s="514">
        <v>5</v>
      </c>
      <c r="AH17" s="514">
        <v>5</v>
      </c>
      <c r="AI17" s="514">
        <v>5</v>
      </c>
      <c r="AJ17" s="514">
        <v>5</v>
      </c>
      <c r="AK17" s="514">
        <v>5</v>
      </c>
      <c r="AL17" s="514"/>
      <c r="AM17" s="514"/>
      <c r="AN17" s="514"/>
      <c r="AO17" s="514"/>
      <c r="AP17" s="514"/>
      <c r="AQ17" s="514"/>
      <c r="AR17" s="514"/>
      <c r="AS17" s="514"/>
      <c r="AT17" s="514"/>
      <c r="AU17" s="514"/>
      <c r="AV17" s="514"/>
      <c r="AW17" s="514"/>
      <c r="AX17" s="514"/>
      <c r="AY17" s="514"/>
      <c r="AZ17" s="514"/>
      <c r="BA17" s="514"/>
      <c r="BB17" s="514"/>
      <c r="BC17" s="514"/>
      <c r="BD17" s="514"/>
      <c r="BE17" s="514"/>
      <c r="BF17" s="514"/>
      <c r="BG17" s="514"/>
      <c r="BH17" s="514"/>
      <c r="BI17" s="514"/>
      <c r="BJ17" s="514"/>
      <c r="BK17" s="514"/>
      <c r="BL17" s="514"/>
      <c r="BM17" s="514"/>
      <c r="BN17" s="514"/>
      <c r="BO17" s="514"/>
      <c r="BP17" s="514"/>
      <c r="BQ17" s="514"/>
      <c r="BR17" s="514"/>
      <c r="BS17" s="514"/>
      <c r="BT17" s="514"/>
      <c r="BU17" s="514"/>
      <c r="BV17" s="514"/>
      <c r="BW17" s="514"/>
      <c r="BX17" s="514"/>
      <c r="BY17" s="514"/>
      <c r="BZ17" s="514"/>
      <c r="CA17" s="514"/>
      <c r="CB17" s="514"/>
      <c r="CC17" s="514"/>
      <c r="CD17" s="514"/>
      <c r="CE17" s="514"/>
      <c r="CF17" s="514"/>
      <c r="CG17" s="514"/>
      <c r="CH17" s="514"/>
      <c r="CI17" s="514"/>
      <c r="CJ17" s="514"/>
      <c r="CK17" s="514"/>
      <c r="CL17" s="514"/>
      <c r="CM17" s="514"/>
      <c r="CN17" s="514"/>
      <c r="CO17" s="514"/>
      <c r="CP17" s="551"/>
      <c r="CQ17" s="516"/>
      <c r="CR17" s="511"/>
      <c r="CS17" s="511"/>
      <c r="CT17" s="511"/>
      <c r="CU17" s="511"/>
      <c r="CV17" s="511"/>
      <c r="CW17" s="511"/>
      <c r="CX17" s="511"/>
      <c r="CY17" s="511"/>
      <c r="CZ17" s="511"/>
      <c r="DA17" s="511"/>
      <c r="DB17" s="511"/>
      <c r="DC17" s="511"/>
      <c r="DD17" s="511"/>
      <c r="DE17" s="511"/>
      <c r="DF17" s="511"/>
      <c r="DG17" s="511"/>
      <c r="DH17" s="511"/>
      <c r="DI17" s="511"/>
      <c r="DJ17" s="511"/>
      <c r="DK17" s="511"/>
      <c r="DL17" s="511"/>
      <c r="DM17" s="511"/>
      <c r="DN17" s="511"/>
      <c r="DO17" s="511"/>
      <c r="DP17" s="511"/>
      <c r="DQ17" s="511"/>
      <c r="DR17" s="511"/>
      <c r="DS17" s="511"/>
      <c r="DT17" s="511"/>
      <c r="DU17" s="511"/>
      <c r="DV17" s="511"/>
      <c r="DW17" s="511"/>
      <c r="DX17" s="511"/>
      <c r="DY17" s="511"/>
      <c r="DZ17" s="511"/>
      <c r="EA17" s="511"/>
      <c r="EB17" s="511"/>
      <c r="EC17" s="511"/>
      <c r="ED17" s="511"/>
      <c r="EE17" s="511"/>
      <c r="EF17" s="511"/>
      <c r="EG17" s="511"/>
      <c r="EH17" s="511"/>
      <c r="EI17" s="511"/>
      <c r="EJ17" s="511"/>
      <c r="EK17" s="511"/>
      <c r="EL17" s="511"/>
      <c r="EM17" s="511"/>
      <c r="EN17" s="511"/>
      <c r="EO17" s="511"/>
      <c r="EP17" s="511"/>
      <c r="EQ17" s="511"/>
    </row>
    <row r="18" spans="1:147" ht="14.25" customHeight="1" x14ac:dyDescent="0.4">
      <c r="A18" s="37"/>
      <c r="B18" s="513" t="s">
        <v>661</v>
      </c>
      <c r="C18" s="79"/>
      <c r="D18" s="79"/>
      <c r="E18" s="79" t="s">
        <v>56</v>
      </c>
      <c r="F18" s="79"/>
      <c r="G18" s="79"/>
      <c r="H18" s="79"/>
      <c r="I18" s="79"/>
      <c r="J18" s="79"/>
      <c r="K18" s="79">
        <v>2</v>
      </c>
      <c r="L18" s="79">
        <f t="shared" ref="L18:P18" si="50">K18+L17</f>
        <v>2</v>
      </c>
      <c r="M18" s="79">
        <f t="shared" si="50"/>
        <v>5</v>
      </c>
      <c r="N18" s="79">
        <f t="shared" si="50"/>
        <v>5</v>
      </c>
      <c r="O18" s="79">
        <f t="shared" si="50"/>
        <v>10</v>
      </c>
      <c r="P18" s="79">
        <f t="shared" si="50"/>
        <v>10</v>
      </c>
      <c r="Q18" s="79"/>
      <c r="R18" s="79">
        <f>P18+R17</f>
        <v>10</v>
      </c>
      <c r="S18" s="79">
        <f t="shared" ref="S18:AC18" si="51">R18+S17</f>
        <v>15</v>
      </c>
      <c r="T18" s="79">
        <f t="shared" si="51"/>
        <v>20</v>
      </c>
      <c r="U18" s="79">
        <f t="shared" si="51"/>
        <v>25</v>
      </c>
      <c r="V18" s="79">
        <f t="shared" si="51"/>
        <v>30</v>
      </c>
      <c r="W18" s="79">
        <f t="shared" si="51"/>
        <v>35</v>
      </c>
      <c r="X18" s="79">
        <f t="shared" si="51"/>
        <v>40</v>
      </c>
      <c r="Y18" s="79">
        <f t="shared" si="51"/>
        <v>45</v>
      </c>
      <c r="Z18" s="79">
        <f t="shared" si="51"/>
        <v>50</v>
      </c>
      <c r="AA18" s="79">
        <f t="shared" si="51"/>
        <v>55</v>
      </c>
      <c r="AB18" s="79">
        <f t="shared" si="51"/>
        <v>60</v>
      </c>
      <c r="AC18" s="79">
        <f t="shared" si="51"/>
        <v>65</v>
      </c>
      <c r="AD18" s="79"/>
      <c r="AE18" s="79">
        <f>AC18+AE17</f>
        <v>70</v>
      </c>
      <c r="AF18" s="79">
        <f t="shared" ref="AF18" si="52">AE18+AF17</f>
        <v>75</v>
      </c>
      <c r="AG18" s="79">
        <f t="shared" ref="AG18" si="53">AF18+AG17</f>
        <v>80</v>
      </c>
      <c r="AH18" s="79">
        <f t="shared" ref="AH18" si="54">AG18+AH17</f>
        <v>85</v>
      </c>
      <c r="AI18" s="79">
        <f t="shared" ref="AI18" si="55">AH18+AI17</f>
        <v>90</v>
      </c>
      <c r="AJ18" s="79">
        <f t="shared" ref="AJ18" si="56">AI18+AJ17</f>
        <v>95</v>
      </c>
      <c r="AK18" s="79">
        <f t="shared" ref="AK18" si="57">AJ18+AK17</f>
        <v>100</v>
      </c>
      <c r="AL18" s="79">
        <f t="shared" ref="AL18" si="58">AK18+AL17</f>
        <v>100</v>
      </c>
      <c r="AM18" s="79">
        <f t="shared" ref="AM18" si="59">AL18+AM17</f>
        <v>100</v>
      </c>
      <c r="AN18" s="79">
        <f t="shared" ref="AN18" si="60">AM18+AN17</f>
        <v>100</v>
      </c>
      <c r="AO18" s="79">
        <f t="shared" ref="AO18" si="61">AN18+AO17</f>
        <v>100</v>
      </c>
      <c r="AP18" s="79">
        <f t="shared" ref="AP18" si="62">AO18+AP17</f>
        <v>100</v>
      </c>
      <c r="AQ18" s="79"/>
      <c r="AR18" s="79">
        <f>AP18+AR17</f>
        <v>100</v>
      </c>
      <c r="AS18" s="79">
        <f t="shared" ref="AS18" si="63">AR18+AS17</f>
        <v>100</v>
      </c>
      <c r="AT18" s="79">
        <f t="shared" ref="AT18" si="64">AS18+AT17</f>
        <v>100</v>
      </c>
      <c r="AU18" s="79">
        <f t="shared" ref="AU18" si="65">AT18+AU17</f>
        <v>100</v>
      </c>
      <c r="AV18" s="79">
        <f t="shared" ref="AV18" si="66">AU18+AV17</f>
        <v>100</v>
      </c>
      <c r="AW18" s="79">
        <f t="shared" ref="AW18" si="67">AV18+AW17</f>
        <v>100</v>
      </c>
      <c r="AX18" s="79">
        <f t="shared" ref="AX18" si="68">AW18+AX17</f>
        <v>100</v>
      </c>
      <c r="AY18" s="79">
        <f t="shared" ref="AY18" si="69">AX18+AY17</f>
        <v>100</v>
      </c>
      <c r="AZ18" s="79">
        <f t="shared" ref="AZ18" si="70">AY18+AZ17</f>
        <v>100</v>
      </c>
      <c r="BA18" s="79">
        <f t="shared" ref="BA18" si="71">AZ18+BA17</f>
        <v>100</v>
      </c>
      <c r="BB18" s="79">
        <f t="shared" ref="BB18" si="72">BA18+BB17</f>
        <v>100</v>
      </c>
      <c r="BC18" s="79">
        <f t="shared" ref="BC18" si="73">BB18+BC17</f>
        <v>100</v>
      </c>
      <c r="BD18" s="79"/>
      <c r="BE18" s="79">
        <f>BC18+BE17</f>
        <v>100</v>
      </c>
      <c r="BF18" s="79">
        <f t="shared" ref="BF18" si="74">BE18+BF17</f>
        <v>100</v>
      </c>
      <c r="BG18" s="79">
        <f t="shared" ref="BG18" si="75">BF18+BG17</f>
        <v>100</v>
      </c>
      <c r="BH18" s="79">
        <f t="shared" ref="BH18" si="76">BG18+BH17</f>
        <v>100</v>
      </c>
      <c r="BI18" s="79">
        <f t="shared" ref="BI18" si="77">BH18+BI17</f>
        <v>100</v>
      </c>
      <c r="BJ18" s="79">
        <f t="shared" ref="BJ18" si="78">BI18+BJ17</f>
        <v>100</v>
      </c>
      <c r="BK18" s="79">
        <f t="shared" ref="BK18" si="79">BJ18+BK17</f>
        <v>100</v>
      </c>
      <c r="BL18" s="79">
        <f t="shared" ref="BL18" si="80">BK18+BL17</f>
        <v>100</v>
      </c>
      <c r="BM18" s="79">
        <f t="shared" ref="BM18" si="81">BL18+BM17</f>
        <v>100</v>
      </c>
      <c r="BN18" s="79">
        <f t="shared" ref="BN18" si="82">BM18+BN17</f>
        <v>100</v>
      </c>
      <c r="BO18" s="79">
        <f t="shared" ref="BO18" si="83">BN18+BO17</f>
        <v>100</v>
      </c>
      <c r="BP18" s="79">
        <f t="shared" ref="BP18" si="84">BO18+BP17</f>
        <v>100</v>
      </c>
      <c r="BQ18" s="79"/>
      <c r="BR18" s="79">
        <f>BP18+BR17</f>
        <v>100</v>
      </c>
      <c r="BS18" s="79">
        <f t="shared" ref="BS18" si="85">BR18+BS17</f>
        <v>100</v>
      </c>
      <c r="BT18" s="79">
        <f t="shared" ref="BT18" si="86">BS18+BT17</f>
        <v>100</v>
      </c>
      <c r="BU18" s="79">
        <f t="shared" ref="BU18" si="87">BT18+BU17</f>
        <v>100</v>
      </c>
      <c r="BV18" s="79">
        <f t="shared" ref="BV18" si="88">BU18+BV17</f>
        <v>100</v>
      </c>
      <c r="BW18" s="79">
        <f t="shared" ref="BW18" si="89">BV18+BW17</f>
        <v>100</v>
      </c>
      <c r="BX18" s="79">
        <f t="shared" ref="BX18" si="90">BW18+BX17</f>
        <v>100</v>
      </c>
      <c r="BY18" s="79">
        <f t="shared" ref="BY18" si="91">BX18+BY17</f>
        <v>100</v>
      </c>
      <c r="BZ18" s="79">
        <f t="shared" ref="BZ18" si="92">BY18+BZ17</f>
        <v>100</v>
      </c>
      <c r="CA18" s="79">
        <f t="shared" ref="CA18" si="93">BZ18+CA17</f>
        <v>100</v>
      </c>
      <c r="CB18" s="79">
        <f t="shared" ref="CB18" si="94">CA18+CB17</f>
        <v>100</v>
      </c>
      <c r="CC18" s="79">
        <f t="shared" ref="CC18" si="95">CB18+CC17</f>
        <v>100</v>
      </c>
      <c r="CD18" s="79"/>
      <c r="CE18" s="79">
        <f>CC18+CE17</f>
        <v>100</v>
      </c>
      <c r="CF18" s="79">
        <f t="shared" ref="CF18" si="96">CE18+CF17</f>
        <v>100</v>
      </c>
      <c r="CG18" s="79">
        <f t="shared" ref="CG18" si="97">CF18+CG17</f>
        <v>100</v>
      </c>
      <c r="CH18" s="79">
        <f t="shared" ref="CH18" si="98">CG18+CH17</f>
        <v>100</v>
      </c>
      <c r="CI18" s="79">
        <f t="shared" ref="CI18" si="99">CH18+CI17</f>
        <v>100</v>
      </c>
      <c r="CJ18" s="79">
        <f t="shared" ref="CJ18" si="100">CI18+CJ17</f>
        <v>100</v>
      </c>
      <c r="CK18" s="79">
        <f t="shared" ref="CK18" si="101">CJ18+CK17</f>
        <v>100</v>
      </c>
      <c r="CL18" s="79">
        <f t="shared" ref="CL18" si="102">CK18+CL17</f>
        <v>100</v>
      </c>
      <c r="CM18" s="79">
        <f t="shared" ref="CM18" si="103">CL18+CM17</f>
        <v>100</v>
      </c>
      <c r="CN18" s="79">
        <f t="shared" ref="CN18" si="104">CM18+CN17</f>
        <v>100</v>
      </c>
      <c r="CO18" s="79">
        <f t="shared" ref="CO18" si="105">CN18+CO17</f>
        <v>100</v>
      </c>
      <c r="CP18" s="552">
        <f t="shared" ref="CP18" si="106">CO18+CP17</f>
        <v>100</v>
      </c>
      <c r="CQ18" s="80"/>
      <c r="CR18" s="78"/>
      <c r="CS18" s="78"/>
      <c r="CT18" s="78"/>
      <c r="CU18" s="78"/>
      <c r="CV18" s="78"/>
      <c r="CW18" s="78"/>
      <c r="CX18" s="78"/>
      <c r="CY18" s="78"/>
      <c r="CZ18" s="78"/>
      <c r="DA18" s="78"/>
      <c r="DB18" s="78"/>
      <c r="DC18" s="78"/>
      <c r="DD18" s="78"/>
      <c r="DE18" s="78"/>
      <c r="DF18" s="78"/>
      <c r="DG18" s="78"/>
      <c r="DH18" s="78"/>
      <c r="DI18" s="78"/>
      <c r="DJ18" s="78"/>
      <c r="DK18" s="78"/>
    </row>
    <row r="19" spans="1:147" ht="14.25" customHeight="1" thickBot="1" x14ac:dyDescent="0.45">
      <c r="A19" s="81" t="s">
        <v>57</v>
      </c>
      <c r="B19" s="82" t="s">
        <v>58</v>
      </c>
      <c r="C19" s="83" t="s">
        <v>59</v>
      </c>
      <c r="D19" s="83" t="s">
        <v>60</v>
      </c>
      <c r="E19" s="83">
        <v>1</v>
      </c>
      <c r="F19" s="83">
        <v>2</v>
      </c>
      <c r="G19" s="83">
        <v>3</v>
      </c>
      <c r="H19" s="83">
        <v>4</v>
      </c>
      <c r="I19" s="83">
        <v>5</v>
      </c>
      <c r="J19" s="83">
        <v>6</v>
      </c>
      <c r="K19" s="83">
        <v>7</v>
      </c>
      <c r="L19" s="83">
        <v>8</v>
      </c>
      <c r="M19" s="83">
        <v>9</v>
      </c>
      <c r="N19" s="83">
        <v>10</v>
      </c>
      <c r="O19" s="83">
        <v>11</v>
      </c>
      <c r="P19" s="83">
        <v>12</v>
      </c>
      <c r="Q19" s="83" t="s">
        <v>61</v>
      </c>
      <c r="R19" s="83">
        <v>13</v>
      </c>
      <c r="S19" s="83">
        <v>14</v>
      </c>
      <c r="T19" s="83">
        <v>15</v>
      </c>
      <c r="U19" s="83">
        <v>16</v>
      </c>
      <c r="V19" s="84">
        <v>17</v>
      </c>
      <c r="W19" s="83">
        <v>18</v>
      </c>
      <c r="X19" s="83">
        <v>19</v>
      </c>
      <c r="Y19" s="83">
        <v>20</v>
      </c>
      <c r="Z19" s="83">
        <v>21</v>
      </c>
      <c r="AA19" s="83">
        <v>22</v>
      </c>
      <c r="AB19" s="83">
        <v>23</v>
      </c>
      <c r="AC19" s="83">
        <v>24</v>
      </c>
      <c r="AD19" s="83" t="s">
        <v>62</v>
      </c>
      <c r="AE19" s="83">
        <v>25</v>
      </c>
      <c r="AF19" s="83">
        <v>26</v>
      </c>
      <c r="AG19" s="83">
        <v>27</v>
      </c>
      <c r="AH19" s="83">
        <v>28</v>
      </c>
      <c r="AI19" s="83">
        <v>29</v>
      </c>
      <c r="AJ19" s="83">
        <v>30</v>
      </c>
      <c r="AK19" s="83">
        <v>31</v>
      </c>
      <c r="AL19" s="83">
        <v>32</v>
      </c>
      <c r="AM19" s="83">
        <v>33</v>
      </c>
      <c r="AN19" s="83">
        <v>34</v>
      </c>
      <c r="AO19" s="83">
        <v>35</v>
      </c>
      <c r="AP19" s="83">
        <v>36</v>
      </c>
      <c r="AQ19" s="83" t="s">
        <v>63</v>
      </c>
      <c r="AR19" s="83">
        <v>37</v>
      </c>
      <c r="AS19" s="83">
        <v>38</v>
      </c>
      <c r="AT19" s="83">
        <v>39</v>
      </c>
      <c r="AU19" s="83">
        <v>40</v>
      </c>
      <c r="AV19" s="83">
        <v>41</v>
      </c>
      <c r="AW19" s="83">
        <v>42</v>
      </c>
      <c r="AX19" s="84">
        <v>43</v>
      </c>
      <c r="AY19" s="84">
        <v>44</v>
      </c>
      <c r="AZ19" s="83">
        <v>45</v>
      </c>
      <c r="BA19" s="83">
        <v>46</v>
      </c>
      <c r="BB19" s="83">
        <v>47</v>
      </c>
      <c r="BC19" s="83">
        <v>48</v>
      </c>
      <c r="BD19" s="83" t="s">
        <v>64</v>
      </c>
      <c r="BE19" s="83">
        <v>49</v>
      </c>
      <c r="BF19" s="83">
        <v>50</v>
      </c>
      <c r="BG19" s="83">
        <v>51</v>
      </c>
      <c r="BH19" s="83">
        <v>52</v>
      </c>
      <c r="BI19" s="83">
        <v>53</v>
      </c>
      <c r="BJ19" s="83">
        <v>54</v>
      </c>
      <c r="BK19" s="83">
        <v>55</v>
      </c>
      <c r="BL19" s="83">
        <v>56</v>
      </c>
      <c r="BM19" s="83">
        <v>57</v>
      </c>
      <c r="BN19" s="83">
        <v>58</v>
      </c>
      <c r="BO19" s="83">
        <v>59</v>
      </c>
      <c r="BP19" s="83">
        <v>60</v>
      </c>
      <c r="BQ19" s="83" t="s">
        <v>65</v>
      </c>
      <c r="BR19" s="83">
        <v>61</v>
      </c>
      <c r="BS19" s="83">
        <v>62</v>
      </c>
      <c r="BT19" s="83">
        <v>63</v>
      </c>
      <c r="BU19" s="83">
        <v>64</v>
      </c>
      <c r="BV19" s="83">
        <v>65</v>
      </c>
      <c r="BW19" s="83">
        <v>66</v>
      </c>
      <c r="BX19" s="83">
        <v>67</v>
      </c>
      <c r="BY19" s="83">
        <v>68</v>
      </c>
      <c r="BZ19" s="83">
        <v>69</v>
      </c>
      <c r="CA19" s="83">
        <v>70</v>
      </c>
      <c r="CB19" s="83">
        <v>71</v>
      </c>
      <c r="CC19" s="83">
        <v>72</v>
      </c>
      <c r="CD19" s="83" t="s">
        <v>66</v>
      </c>
      <c r="CE19" s="83">
        <v>73</v>
      </c>
      <c r="CF19" s="83">
        <v>74</v>
      </c>
      <c r="CG19" s="83">
        <v>75</v>
      </c>
      <c r="CH19" s="83">
        <v>76</v>
      </c>
      <c r="CI19" s="83">
        <v>77</v>
      </c>
      <c r="CJ19" s="83">
        <v>78</v>
      </c>
      <c r="CK19" s="83">
        <v>79</v>
      </c>
      <c r="CL19" s="83">
        <v>80</v>
      </c>
      <c r="CM19" s="83">
        <v>81</v>
      </c>
      <c r="CN19" s="83">
        <v>82</v>
      </c>
      <c r="CO19" s="83">
        <v>83</v>
      </c>
      <c r="CP19" s="168">
        <v>84</v>
      </c>
      <c r="CQ19" s="85" t="s">
        <v>67</v>
      </c>
      <c r="CR19" s="83"/>
      <c r="CS19" s="83"/>
      <c r="CT19" s="83"/>
      <c r="CU19" s="83"/>
      <c r="CV19" s="83"/>
      <c r="CW19" s="83"/>
      <c r="CX19" s="83"/>
      <c r="CY19" s="83"/>
      <c r="CZ19" s="83"/>
      <c r="DA19" s="83"/>
      <c r="DB19" s="83"/>
      <c r="DC19" s="83"/>
      <c r="DD19" s="83"/>
      <c r="DE19" s="84"/>
      <c r="DF19" s="84"/>
      <c r="DG19" s="84"/>
      <c r="DH19" s="84"/>
      <c r="DI19" s="84"/>
      <c r="DJ19" s="84"/>
      <c r="DK19" s="84"/>
    </row>
    <row r="20" spans="1:147" ht="14.25" customHeight="1" x14ac:dyDescent="0.4">
      <c r="A20" s="37">
        <v>1</v>
      </c>
      <c r="B20" s="39" t="s">
        <v>68</v>
      </c>
      <c r="C20" s="86">
        <f t="shared" ref="C20:C46" si="107">SUM(E20:CQ20)-Q20-AD20-AQ20-BD20-BQ20-CD20-CQ20</f>
        <v>255000000</v>
      </c>
      <c r="D20" s="49"/>
      <c r="E20" s="49">
        <v>130000000</v>
      </c>
      <c r="F20" s="49"/>
      <c r="G20" s="49">
        <v>125000000</v>
      </c>
      <c r="H20" s="49"/>
      <c r="I20" s="49"/>
      <c r="J20" s="49"/>
      <c r="K20" s="49"/>
      <c r="L20" s="49"/>
      <c r="M20" s="49"/>
      <c r="N20" s="49"/>
      <c r="O20" s="49"/>
      <c r="P20" s="49"/>
      <c r="Q20" s="49">
        <f t="shared" ref="Q20:Q45" si="108">SUM(E20:P20)</f>
        <v>255000000</v>
      </c>
      <c r="R20" s="49"/>
      <c r="S20" s="49"/>
      <c r="T20" s="49"/>
      <c r="U20" s="49"/>
      <c r="V20" s="49"/>
      <c r="W20" s="49"/>
      <c r="X20" s="49"/>
      <c r="Y20" s="49"/>
      <c r="Z20" s="49"/>
      <c r="AA20" s="49"/>
      <c r="AB20" s="49"/>
      <c r="AC20" s="49"/>
      <c r="AD20" s="49">
        <f t="shared" ref="AD20:AD38" si="109">SUM(R20:AC20)</f>
        <v>0</v>
      </c>
      <c r="AE20" s="49"/>
      <c r="AF20" s="49"/>
      <c r="AG20" s="49"/>
      <c r="AH20" s="49"/>
      <c r="AI20" s="49"/>
      <c r="AJ20" s="49"/>
      <c r="AK20" s="49"/>
      <c r="AL20" s="49"/>
      <c r="AM20" s="49"/>
      <c r="AN20" s="49"/>
      <c r="AO20" s="49"/>
      <c r="AP20" s="49"/>
      <c r="AQ20" s="49">
        <f>SUM(AE20:AP20)</f>
        <v>0</v>
      </c>
      <c r="AR20" s="49"/>
      <c r="AS20" s="49"/>
      <c r="AT20" s="49"/>
      <c r="AU20" s="49"/>
      <c r="AV20" s="49"/>
      <c r="AW20" s="49"/>
      <c r="AX20" s="49"/>
      <c r="AY20" s="49"/>
      <c r="AZ20" s="49"/>
      <c r="BA20" s="49"/>
      <c r="BB20" s="49"/>
      <c r="BC20" s="49"/>
      <c r="BD20" s="49">
        <f>SUM(AR20:BC20)</f>
        <v>0</v>
      </c>
      <c r="BE20" s="49"/>
      <c r="BF20" s="49"/>
      <c r="BG20" s="49"/>
      <c r="BH20" s="49"/>
      <c r="BI20" s="49"/>
      <c r="BJ20" s="49"/>
      <c r="BK20" s="49"/>
      <c r="BL20" s="49"/>
      <c r="BM20" s="49"/>
      <c r="BN20" s="49"/>
      <c r="BO20" s="49"/>
      <c r="BP20" s="49"/>
      <c r="BQ20" s="49">
        <f>SUM(BE20:BP20)</f>
        <v>0</v>
      </c>
      <c r="BR20" s="49"/>
      <c r="BS20" s="49"/>
      <c r="BT20" s="49"/>
      <c r="BU20" s="49"/>
      <c r="BV20" s="49"/>
      <c r="BW20" s="49"/>
      <c r="BX20" s="49"/>
      <c r="BY20" s="49"/>
      <c r="BZ20" s="49"/>
      <c r="CA20" s="49"/>
      <c r="CB20" s="49"/>
      <c r="CC20" s="49"/>
      <c r="CD20" s="49">
        <f>SUM(BR20:CC20)</f>
        <v>0</v>
      </c>
      <c r="CE20" s="49"/>
      <c r="CF20" s="49"/>
      <c r="CG20" s="49"/>
      <c r="CH20" s="49"/>
      <c r="CI20" s="49"/>
      <c r="CJ20" s="49"/>
      <c r="CK20" s="49"/>
      <c r="CL20" s="49"/>
      <c r="CM20" s="49"/>
      <c r="CN20" s="49"/>
      <c r="CO20" s="49"/>
      <c r="CP20" s="39"/>
      <c r="CQ20" s="49"/>
      <c r="CR20" s="49"/>
      <c r="CS20" s="49"/>
      <c r="CT20" s="49"/>
      <c r="CU20" s="49"/>
      <c r="CV20" s="49"/>
      <c r="CW20" s="49"/>
      <c r="CX20" s="49"/>
      <c r="CY20" s="49"/>
      <c r="CZ20" s="49"/>
      <c r="DA20" s="49"/>
      <c r="DB20" s="49"/>
      <c r="DC20" s="49"/>
      <c r="DD20" s="49"/>
      <c r="DE20" s="49"/>
      <c r="DF20" s="49"/>
      <c r="DG20" s="49"/>
      <c r="DH20" s="49"/>
      <c r="DI20" s="49"/>
      <c r="DJ20" s="49"/>
      <c r="DK20" s="49"/>
    </row>
    <row r="21" spans="1:147" ht="14.25" customHeight="1" x14ac:dyDescent="0.4">
      <c r="A21" s="37"/>
      <c r="B21" s="87" t="s">
        <v>69</v>
      </c>
      <c r="C21" s="88">
        <f t="shared" si="107"/>
        <v>300000000</v>
      </c>
      <c r="D21" s="88"/>
      <c r="E21" s="86">
        <v>75000000</v>
      </c>
      <c r="F21" s="86">
        <v>0</v>
      </c>
      <c r="G21" s="88">
        <v>50000000</v>
      </c>
      <c r="H21" s="86">
        <v>20000000</v>
      </c>
      <c r="I21" s="86">
        <v>30000000</v>
      </c>
      <c r="J21" s="88"/>
      <c r="K21" s="88">
        <v>25000000</v>
      </c>
      <c r="L21" s="86">
        <v>20000000</v>
      </c>
      <c r="M21" s="88">
        <v>20000000</v>
      </c>
      <c r="N21" s="86">
        <v>20000000</v>
      </c>
      <c r="O21" s="88">
        <v>20000000</v>
      </c>
      <c r="P21" s="89">
        <v>20000000</v>
      </c>
      <c r="Q21" s="89">
        <f t="shared" si="108"/>
        <v>300000000</v>
      </c>
      <c r="R21" s="88"/>
      <c r="S21" s="88"/>
      <c r="T21" s="86"/>
      <c r="U21" s="88"/>
      <c r="V21" s="88"/>
      <c r="W21" s="88"/>
      <c r="X21" s="88"/>
      <c r="Y21" s="88"/>
      <c r="Z21" s="88"/>
      <c r="AA21" s="88"/>
      <c r="AB21" s="88"/>
      <c r="AC21" s="88"/>
      <c r="AD21" s="89">
        <f t="shared" si="109"/>
        <v>0</v>
      </c>
      <c r="AE21" s="88"/>
      <c r="AF21" s="88"/>
      <c r="AG21" s="88"/>
      <c r="AH21" s="88"/>
      <c r="AI21" s="88"/>
      <c r="AJ21" s="88"/>
      <c r="AK21" s="88"/>
      <c r="AL21" s="88"/>
      <c r="AM21" s="88"/>
      <c r="AN21" s="88"/>
      <c r="AO21" s="88"/>
      <c r="AP21" s="88"/>
      <c r="AQ21" s="89"/>
      <c r="AR21" s="88"/>
      <c r="AS21" s="88"/>
      <c r="AT21" s="88"/>
      <c r="AU21" s="88"/>
      <c r="AV21" s="88"/>
      <c r="AW21" s="88"/>
      <c r="AX21" s="88"/>
      <c r="AY21" s="88"/>
      <c r="AZ21" s="88"/>
      <c r="BA21" s="88"/>
      <c r="BB21" s="88"/>
      <c r="BC21" s="88"/>
      <c r="BD21" s="89"/>
      <c r="BE21" s="88"/>
      <c r="BF21" s="88"/>
      <c r="BG21" s="88"/>
      <c r="BH21" s="88"/>
      <c r="BI21" s="88"/>
      <c r="BJ21" s="88"/>
      <c r="BK21" s="88"/>
      <c r="BL21" s="88"/>
      <c r="BM21" s="88"/>
      <c r="BN21" s="88"/>
      <c r="BO21" s="88"/>
      <c r="BP21" s="88"/>
      <c r="BQ21" s="89"/>
      <c r="BR21" s="88"/>
      <c r="BS21" s="88"/>
      <c r="BT21" s="88"/>
      <c r="BU21" s="88"/>
      <c r="BV21" s="88"/>
      <c r="BW21" s="88"/>
      <c r="BX21" s="88"/>
      <c r="BY21" s="88"/>
      <c r="BZ21" s="88"/>
      <c r="CA21" s="88"/>
      <c r="CB21" s="88"/>
      <c r="CC21" s="88"/>
      <c r="CD21" s="89"/>
      <c r="CE21" s="88"/>
      <c r="CF21" s="88"/>
      <c r="CG21" s="88"/>
      <c r="CH21" s="88"/>
      <c r="CI21" s="88"/>
      <c r="CJ21" s="88"/>
      <c r="CK21" s="88"/>
      <c r="CL21" s="88"/>
      <c r="CM21" s="88"/>
      <c r="CN21" s="88"/>
      <c r="CO21" s="88"/>
      <c r="CP21" s="38"/>
      <c r="CQ21" s="88"/>
      <c r="CR21" s="88"/>
      <c r="CS21" s="88"/>
      <c r="CT21" s="88"/>
      <c r="CU21" s="88"/>
      <c r="CV21" s="88"/>
      <c r="CW21" s="88"/>
      <c r="CX21" s="88"/>
      <c r="CY21" s="88"/>
      <c r="CZ21" s="88"/>
      <c r="DA21" s="88"/>
      <c r="DB21" s="88"/>
      <c r="DC21" s="88"/>
      <c r="DD21" s="88"/>
      <c r="DE21" s="88"/>
      <c r="DF21" s="88"/>
      <c r="DG21" s="88"/>
      <c r="DH21" s="88"/>
      <c r="DI21" s="88"/>
      <c r="DJ21" s="88"/>
      <c r="DK21" s="88"/>
    </row>
    <row r="22" spans="1:147" ht="14.25" customHeight="1" x14ac:dyDescent="0.55000000000000004">
      <c r="A22" s="90">
        <v>2</v>
      </c>
      <c r="B22" s="91" t="s">
        <v>602</v>
      </c>
      <c r="C22" s="88">
        <f t="shared" si="107"/>
        <v>2697742830.4241238</v>
      </c>
      <c r="D22" s="89"/>
      <c r="E22" s="89">
        <f t="shared" ref="E22:I22" si="110">$C$8*E17*0.25*0.5</f>
        <v>0</v>
      </c>
      <c r="F22" s="89">
        <f t="shared" si="110"/>
        <v>0</v>
      </c>
      <c r="G22" s="89">
        <f t="shared" si="110"/>
        <v>0</v>
      </c>
      <c r="H22" s="89">
        <f t="shared" si="110"/>
        <v>0</v>
      </c>
      <c r="I22" s="89">
        <f t="shared" si="110"/>
        <v>0</v>
      </c>
      <c r="J22" s="89">
        <f>$C$8*J18*0.5</f>
        <v>0</v>
      </c>
      <c r="K22" s="89"/>
      <c r="L22" s="89">
        <f>L16*$C$8</f>
        <v>859290.59736395243</v>
      </c>
      <c r="M22" s="89">
        <f t="shared" ref="M22:BX22" si="111">M16*$C$8</f>
        <v>859290.59736395243</v>
      </c>
      <c r="N22" s="89">
        <f t="shared" si="111"/>
        <v>2148226.4934098809</v>
      </c>
      <c r="O22" s="89">
        <f t="shared" si="111"/>
        <v>2148226.4934098809</v>
      </c>
      <c r="P22" s="89">
        <f t="shared" si="111"/>
        <v>4296452.9868197618</v>
      </c>
      <c r="Q22" s="89">
        <f t="shared" si="108"/>
        <v>10311487.168367427</v>
      </c>
      <c r="R22" s="89">
        <f t="shared" si="111"/>
        <v>4296452.9868197618</v>
      </c>
      <c r="S22" s="89">
        <f t="shared" si="111"/>
        <v>4296452.9868197618</v>
      </c>
      <c r="T22" s="89">
        <f t="shared" si="111"/>
        <v>6444679.4802296432</v>
      </c>
      <c r="U22" s="89">
        <f t="shared" si="111"/>
        <v>8592905.9736395236</v>
      </c>
      <c r="V22" s="89">
        <f t="shared" si="111"/>
        <v>10741132.467049405</v>
      </c>
      <c r="W22" s="89">
        <f t="shared" si="111"/>
        <v>12889358.960459286</v>
      </c>
      <c r="X22" s="89">
        <f t="shared" si="111"/>
        <v>15037585.453869168</v>
      </c>
      <c r="Y22" s="89">
        <f t="shared" si="111"/>
        <v>17185811.947279047</v>
      </c>
      <c r="Z22" s="89">
        <f t="shared" si="111"/>
        <v>19334038.44068893</v>
      </c>
      <c r="AA22" s="89">
        <f t="shared" si="111"/>
        <v>21482264.93409881</v>
      </c>
      <c r="AB22" s="89">
        <f t="shared" si="111"/>
        <v>23630491.427508693</v>
      </c>
      <c r="AC22" s="89">
        <f t="shared" si="111"/>
        <v>25778717.920918573</v>
      </c>
      <c r="AD22" s="89">
        <f t="shared" si="109"/>
        <v>169709892.97938061</v>
      </c>
      <c r="AE22" s="89">
        <f t="shared" si="111"/>
        <v>27926944.414328452</v>
      </c>
      <c r="AF22" s="89">
        <f t="shared" si="111"/>
        <v>30075170.907738335</v>
      </c>
      <c r="AG22" s="89">
        <f t="shared" si="111"/>
        <v>32223397.401148215</v>
      </c>
      <c r="AH22" s="89">
        <f t="shared" si="111"/>
        <v>34371623.894558094</v>
      </c>
      <c r="AI22" s="89">
        <f t="shared" si="111"/>
        <v>36519850.387967981</v>
      </c>
      <c r="AJ22" s="89">
        <f t="shared" si="111"/>
        <v>38668076.881377861</v>
      </c>
      <c r="AK22" s="89">
        <f t="shared" si="111"/>
        <v>40816303.37478774</v>
      </c>
      <c r="AL22" s="89">
        <f t="shared" si="111"/>
        <v>42964529.86819762</v>
      </c>
      <c r="AM22" s="89">
        <f t="shared" si="111"/>
        <v>42964529.86819762</v>
      </c>
      <c r="AN22" s="89">
        <f t="shared" si="111"/>
        <v>42964529.86819762</v>
      </c>
      <c r="AO22" s="89">
        <f t="shared" si="111"/>
        <v>42964529.86819762</v>
      </c>
      <c r="AP22" s="89">
        <f t="shared" si="111"/>
        <v>42964529.86819762</v>
      </c>
      <c r="AQ22" s="89">
        <f t="shared" ref="AQ22:AQ46" si="112">SUM(AE22:AP22)</f>
        <v>455424016.60289478</v>
      </c>
      <c r="AR22" s="89">
        <f t="shared" si="111"/>
        <v>42964529.86819762</v>
      </c>
      <c r="AS22" s="89">
        <f t="shared" si="111"/>
        <v>42964529.86819762</v>
      </c>
      <c r="AT22" s="89">
        <f t="shared" si="111"/>
        <v>42964529.86819762</v>
      </c>
      <c r="AU22" s="89">
        <f t="shared" si="111"/>
        <v>42964529.86819762</v>
      </c>
      <c r="AV22" s="89">
        <f t="shared" si="111"/>
        <v>42964529.86819762</v>
      </c>
      <c r="AW22" s="89">
        <f t="shared" si="111"/>
        <v>42964529.86819762</v>
      </c>
      <c r="AX22" s="89">
        <f t="shared" si="111"/>
        <v>42964529.86819762</v>
      </c>
      <c r="AY22" s="89">
        <f t="shared" si="111"/>
        <v>42964529.86819762</v>
      </c>
      <c r="AZ22" s="89">
        <f t="shared" si="111"/>
        <v>42964529.86819762</v>
      </c>
      <c r="BA22" s="89">
        <f t="shared" si="111"/>
        <v>42964529.86819762</v>
      </c>
      <c r="BB22" s="89">
        <f t="shared" si="111"/>
        <v>42964529.86819762</v>
      </c>
      <c r="BC22" s="89">
        <f t="shared" si="111"/>
        <v>42964529.86819762</v>
      </c>
      <c r="BD22" s="89">
        <f t="shared" ref="BD22:BD46" si="113">SUM(AR22:BC22)</f>
        <v>515574358.41837144</v>
      </c>
      <c r="BE22" s="89">
        <f t="shared" si="111"/>
        <v>42964529.86819762</v>
      </c>
      <c r="BF22" s="89">
        <f t="shared" si="111"/>
        <v>42964529.86819762</v>
      </c>
      <c r="BG22" s="89">
        <f t="shared" si="111"/>
        <v>42964529.86819762</v>
      </c>
      <c r="BH22" s="89">
        <f t="shared" si="111"/>
        <v>42964529.86819762</v>
      </c>
      <c r="BI22" s="89">
        <f t="shared" si="111"/>
        <v>42964529.86819762</v>
      </c>
      <c r="BJ22" s="89">
        <f t="shared" si="111"/>
        <v>42964529.86819762</v>
      </c>
      <c r="BK22" s="89">
        <f t="shared" si="111"/>
        <v>42964529.86819762</v>
      </c>
      <c r="BL22" s="89">
        <f t="shared" si="111"/>
        <v>42964529.86819762</v>
      </c>
      <c r="BM22" s="89">
        <f t="shared" si="111"/>
        <v>42964529.86819762</v>
      </c>
      <c r="BN22" s="89">
        <f t="shared" si="111"/>
        <v>42964529.86819762</v>
      </c>
      <c r="BO22" s="89">
        <f t="shared" si="111"/>
        <v>42964529.86819762</v>
      </c>
      <c r="BP22" s="89">
        <f t="shared" si="111"/>
        <v>42964529.86819762</v>
      </c>
      <c r="BQ22" s="89">
        <f t="shared" ref="BQ22:BQ45" si="114">SUM(BE22:BP22)</f>
        <v>515574358.41837144</v>
      </c>
      <c r="BR22" s="89">
        <f t="shared" si="111"/>
        <v>42964529.86819762</v>
      </c>
      <c r="BS22" s="89">
        <f t="shared" si="111"/>
        <v>42964529.86819762</v>
      </c>
      <c r="BT22" s="89">
        <f t="shared" si="111"/>
        <v>42964529.86819762</v>
      </c>
      <c r="BU22" s="89">
        <f t="shared" si="111"/>
        <v>42964529.86819762</v>
      </c>
      <c r="BV22" s="89">
        <f t="shared" si="111"/>
        <v>42964529.86819762</v>
      </c>
      <c r="BW22" s="89">
        <f t="shared" si="111"/>
        <v>42964529.86819762</v>
      </c>
      <c r="BX22" s="89">
        <f t="shared" si="111"/>
        <v>42964529.86819762</v>
      </c>
      <c r="BY22" s="89">
        <f t="shared" ref="BY22:CC22" si="115">BY16*$C$8</f>
        <v>42964529.86819762</v>
      </c>
      <c r="BZ22" s="89">
        <f t="shared" si="115"/>
        <v>42964529.86819762</v>
      </c>
      <c r="CA22" s="89">
        <f t="shared" si="115"/>
        <v>42964529.86819762</v>
      </c>
      <c r="CB22" s="89">
        <f t="shared" si="115"/>
        <v>42964529.86819762</v>
      </c>
      <c r="CC22" s="89">
        <f t="shared" si="115"/>
        <v>42964529.86819762</v>
      </c>
      <c r="CD22" s="89">
        <f t="shared" ref="CD22:CD47" si="116">SUM(BR22:CC22)</f>
        <v>515574358.41837144</v>
      </c>
      <c r="CE22" s="89">
        <f t="shared" ref="CE22:CP22" si="117">CE16*$C$8</f>
        <v>42964529.86819762</v>
      </c>
      <c r="CF22" s="89">
        <f t="shared" si="117"/>
        <v>42964529.86819762</v>
      </c>
      <c r="CG22" s="89">
        <f t="shared" si="117"/>
        <v>42964529.86819762</v>
      </c>
      <c r="CH22" s="89">
        <f t="shared" si="117"/>
        <v>42964529.86819762</v>
      </c>
      <c r="CI22" s="89">
        <f t="shared" si="117"/>
        <v>42964529.86819762</v>
      </c>
      <c r="CJ22" s="89">
        <f t="shared" si="117"/>
        <v>42964529.86819762</v>
      </c>
      <c r="CK22" s="89">
        <f t="shared" si="117"/>
        <v>42964529.86819762</v>
      </c>
      <c r="CL22" s="89">
        <f t="shared" si="117"/>
        <v>42964529.86819762</v>
      </c>
      <c r="CM22" s="89">
        <f t="shared" si="117"/>
        <v>42964529.86819762</v>
      </c>
      <c r="CN22" s="89">
        <f t="shared" si="117"/>
        <v>42964529.86819762</v>
      </c>
      <c r="CO22" s="89">
        <f t="shared" si="117"/>
        <v>42964529.86819762</v>
      </c>
      <c r="CP22" s="89">
        <f t="shared" si="117"/>
        <v>42964529.86819762</v>
      </c>
      <c r="CQ22" s="89">
        <f t="shared" ref="CQ22:CQ47" si="118">SUM(CE22:CP22)</f>
        <v>515574358.41837144</v>
      </c>
      <c r="CR22" s="89"/>
      <c r="CS22" s="89"/>
      <c r="CT22" s="89"/>
      <c r="CU22" s="89"/>
      <c r="CV22" s="89"/>
      <c r="CW22" s="89"/>
      <c r="CX22" s="89"/>
      <c r="CY22" s="89"/>
      <c r="CZ22" s="89"/>
      <c r="DA22" s="89"/>
      <c r="DB22" s="89"/>
      <c r="DC22" s="89"/>
      <c r="DD22" s="89"/>
      <c r="DE22" s="89"/>
      <c r="DF22" s="89"/>
      <c r="DG22" s="89"/>
      <c r="DH22" s="89"/>
      <c r="DI22" s="89"/>
      <c r="DJ22" s="89"/>
      <c r="DK22" s="89"/>
    </row>
    <row r="23" spans="1:147" ht="14.25" customHeight="1" x14ac:dyDescent="0.55000000000000004">
      <c r="A23" s="90">
        <v>3</v>
      </c>
      <c r="B23" s="469" t="s">
        <v>603</v>
      </c>
      <c r="C23" s="88">
        <f t="shared" si="107"/>
        <v>1799699745.4581561</v>
      </c>
      <c r="D23" s="89"/>
      <c r="E23" s="89">
        <f>('Hydrogen Calculations'!$N$20*0.2)*E17*0.5*0.5</f>
        <v>0</v>
      </c>
      <c r="F23" s="89">
        <f>('Hydrogen Calculations'!$N$20*0.2)*F17*0.5*0.5</f>
        <v>0</v>
      </c>
      <c r="G23" s="89">
        <f>('Hydrogen Calculations'!$N$20*0.2)*G17*0.5*0.5</f>
        <v>0</v>
      </c>
      <c r="H23" s="89">
        <f>('Hydrogen Calculations'!$N$20*0.2)*H17*0.5*0.5</f>
        <v>0</v>
      </c>
      <c r="I23" s="89">
        <f>('Hydrogen Calculations'!$N$20*0.2)*I17*0.5*0.5</f>
        <v>0</v>
      </c>
      <c r="J23" s="89">
        <f>('Hydrogen Calculations'!$N$20*0.2)*J17*0.5*0.5</f>
        <v>0</v>
      </c>
      <c r="K23" s="89">
        <f>$C$7*K16</f>
        <v>0</v>
      </c>
      <c r="L23" s="89">
        <f t="shared" ref="L23:BW23" si="119">$C$7*L16</f>
        <v>573244.06608000002</v>
      </c>
      <c r="M23" s="89">
        <f t="shared" si="119"/>
        <v>573244.06608000002</v>
      </c>
      <c r="N23" s="89">
        <f t="shared" si="119"/>
        <v>1433110.1652000002</v>
      </c>
      <c r="O23" s="89">
        <f t="shared" si="119"/>
        <v>1433110.1652000002</v>
      </c>
      <c r="P23" s="89">
        <f>$C$7*P16</f>
        <v>2866220.3304000003</v>
      </c>
      <c r="Q23" s="89">
        <f t="shared" si="108"/>
        <v>6878928.7929600012</v>
      </c>
      <c r="R23" s="89">
        <f>$C$7*R16</f>
        <v>2866220.3304000003</v>
      </c>
      <c r="S23" s="89">
        <f t="shared" ref="S23:AC23" si="120">$C$7*S16</f>
        <v>2866220.3304000003</v>
      </c>
      <c r="T23" s="89">
        <f t="shared" si="120"/>
        <v>4299330.4956</v>
      </c>
      <c r="U23" s="89">
        <f t="shared" si="120"/>
        <v>5732440.6608000007</v>
      </c>
      <c r="V23" s="89">
        <f t="shared" si="120"/>
        <v>7165550.8260000004</v>
      </c>
      <c r="W23" s="89">
        <f t="shared" si="120"/>
        <v>8598660.9912</v>
      </c>
      <c r="X23" s="89">
        <f t="shared" si="120"/>
        <v>10031771.156400001</v>
      </c>
      <c r="Y23" s="89">
        <f t="shared" si="120"/>
        <v>11464881.321600001</v>
      </c>
      <c r="Z23" s="89">
        <f t="shared" si="120"/>
        <v>12897991.4868</v>
      </c>
      <c r="AA23" s="89">
        <f t="shared" si="120"/>
        <v>14331101.652000001</v>
      </c>
      <c r="AB23" s="89">
        <f t="shared" si="120"/>
        <v>15764211.817200001</v>
      </c>
      <c r="AC23" s="89">
        <f t="shared" si="120"/>
        <v>17197321.9824</v>
      </c>
      <c r="AD23" s="89">
        <f t="shared" si="109"/>
        <v>113215703.05080001</v>
      </c>
      <c r="AE23" s="89">
        <f>$C$7*AE16</f>
        <v>18630432.147599999</v>
      </c>
      <c r="AF23" s="89">
        <f t="shared" ref="AF23:AP23" si="121">$C$7*AF16</f>
        <v>20063542.312800001</v>
      </c>
      <c r="AG23" s="89">
        <f t="shared" si="121"/>
        <v>21496652.478</v>
      </c>
      <c r="AH23" s="89">
        <f t="shared" si="121"/>
        <v>22929762.643200003</v>
      </c>
      <c r="AI23" s="89">
        <f t="shared" si="121"/>
        <v>24362872.808400001</v>
      </c>
      <c r="AJ23" s="89">
        <f t="shared" si="121"/>
        <v>25795982.9736</v>
      </c>
      <c r="AK23" s="89">
        <f t="shared" si="121"/>
        <v>27229093.138800003</v>
      </c>
      <c r="AL23" s="89">
        <f t="shared" si="121"/>
        <v>28662203.304000001</v>
      </c>
      <c r="AM23" s="89">
        <f t="shared" si="121"/>
        <v>28662203.304000001</v>
      </c>
      <c r="AN23" s="89">
        <f t="shared" si="121"/>
        <v>28662203.304000001</v>
      </c>
      <c r="AO23" s="89">
        <f t="shared" si="121"/>
        <v>28662203.304000001</v>
      </c>
      <c r="AP23" s="89">
        <f t="shared" si="121"/>
        <v>28662203.304000001</v>
      </c>
      <c r="AQ23" s="89">
        <f t="shared" si="112"/>
        <v>303819355.02240002</v>
      </c>
      <c r="AR23" s="89">
        <f>$C$7*AR16</f>
        <v>28662203.304000001</v>
      </c>
      <c r="AS23" s="89">
        <f t="shared" ref="AS23:BC23" si="122">$C$7*AS16</f>
        <v>28662203.304000001</v>
      </c>
      <c r="AT23" s="89">
        <f t="shared" si="122"/>
        <v>28662203.304000001</v>
      </c>
      <c r="AU23" s="89">
        <f t="shared" si="122"/>
        <v>28662203.304000001</v>
      </c>
      <c r="AV23" s="89">
        <f t="shared" si="122"/>
        <v>28662203.304000001</v>
      </c>
      <c r="AW23" s="89">
        <f t="shared" si="122"/>
        <v>28662203.304000001</v>
      </c>
      <c r="AX23" s="89">
        <f t="shared" si="122"/>
        <v>28662203.304000001</v>
      </c>
      <c r="AY23" s="89">
        <f t="shared" si="122"/>
        <v>28662203.304000001</v>
      </c>
      <c r="AZ23" s="89">
        <f t="shared" si="122"/>
        <v>28662203.304000001</v>
      </c>
      <c r="BA23" s="89">
        <f t="shared" si="122"/>
        <v>28662203.304000001</v>
      </c>
      <c r="BB23" s="89">
        <f t="shared" si="122"/>
        <v>28662203.304000001</v>
      </c>
      <c r="BC23" s="89">
        <f t="shared" si="122"/>
        <v>28662203.304000001</v>
      </c>
      <c r="BD23" s="49">
        <f t="shared" si="113"/>
        <v>343946439.648</v>
      </c>
      <c r="BE23" s="89">
        <f t="shared" si="119"/>
        <v>28662203.304000001</v>
      </c>
      <c r="BF23" s="89">
        <f t="shared" si="119"/>
        <v>28662203.304000001</v>
      </c>
      <c r="BG23" s="89">
        <f t="shared" si="119"/>
        <v>28662203.304000001</v>
      </c>
      <c r="BH23" s="89">
        <f t="shared" si="119"/>
        <v>28662203.304000001</v>
      </c>
      <c r="BI23" s="89">
        <f t="shared" si="119"/>
        <v>28662203.304000001</v>
      </c>
      <c r="BJ23" s="89">
        <f t="shared" si="119"/>
        <v>28662203.304000001</v>
      </c>
      <c r="BK23" s="89">
        <f t="shared" si="119"/>
        <v>28662203.304000001</v>
      </c>
      <c r="BL23" s="89">
        <f t="shared" si="119"/>
        <v>28662203.304000001</v>
      </c>
      <c r="BM23" s="89">
        <f t="shared" si="119"/>
        <v>28662203.304000001</v>
      </c>
      <c r="BN23" s="89">
        <f t="shared" si="119"/>
        <v>28662203.304000001</v>
      </c>
      <c r="BO23" s="89">
        <f t="shared" si="119"/>
        <v>28662203.304000001</v>
      </c>
      <c r="BP23" s="89">
        <f t="shared" si="119"/>
        <v>28662203.304000001</v>
      </c>
      <c r="BQ23" s="49">
        <f t="shared" si="114"/>
        <v>343946439.648</v>
      </c>
      <c r="BR23" s="89">
        <f t="shared" si="119"/>
        <v>28662203.304000001</v>
      </c>
      <c r="BS23" s="89">
        <f t="shared" si="119"/>
        <v>28662203.304000001</v>
      </c>
      <c r="BT23" s="89">
        <f t="shared" si="119"/>
        <v>28662203.304000001</v>
      </c>
      <c r="BU23" s="89">
        <f t="shared" si="119"/>
        <v>28662203.304000001</v>
      </c>
      <c r="BV23" s="89">
        <f t="shared" si="119"/>
        <v>28662203.304000001</v>
      </c>
      <c r="BW23" s="89">
        <f t="shared" si="119"/>
        <v>28662203.304000001</v>
      </c>
      <c r="BX23" s="89">
        <f t="shared" ref="BX23:CC23" si="123">$C$7*BX16</f>
        <v>28662203.304000001</v>
      </c>
      <c r="BY23" s="89">
        <f t="shared" si="123"/>
        <v>28662203.304000001</v>
      </c>
      <c r="BZ23" s="89">
        <f t="shared" si="123"/>
        <v>28662203.304000001</v>
      </c>
      <c r="CA23" s="89">
        <f t="shared" si="123"/>
        <v>28662203.304000001</v>
      </c>
      <c r="CB23" s="89">
        <f t="shared" si="123"/>
        <v>28662203.304000001</v>
      </c>
      <c r="CC23" s="89">
        <f t="shared" si="123"/>
        <v>28662203.304000001</v>
      </c>
      <c r="CD23" s="49">
        <f t="shared" si="116"/>
        <v>343946439.648</v>
      </c>
      <c r="CE23" s="89">
        <f t="shared" ref="CE23:CP23" si="124">$C$7*CE16</f>
        <v>28662203.304000001</v>
      </c>
      <c r="CF23" s="89">
        <f t="shared" si="124"/>
        <v>28662203.304000001</v>
      </c>
      <c r="CG23" s="89">
        <f t="shared" si="124"/>
        <v>28662203.304000001</v>
      </c>
      <c r="CH23" s="89">
        <f t="shared" si="124"/>
        <v>28662203.304000001</v>
      </c>
      <c r="CI23" s="89">
        <f t="shared" si="124"/>
        <v>28662203.304000001</v>
      </c>
      <c r="CJ23" s="89">
        <f t="shared" si="124"/>
        <v>28662203.304000001</v>
      </c>
      <c r="CK23" s="89">
        <f t="shared" si="124"/>
        <v>28662203.304000001</v>
      </c>
      <c r="CL23" s="89">
        <f t="shared" si="124"/>
        <v>28662203.304000001</v>
      </c>
      <c r="CM23" s="89">
        <f t="shared" si="124"/>
        <v>28662203.304000001</v>
      </c>
      <c r="CN23" s="89">
        <f t="shared" si="124"/>
        <v>28662203.304000001</v>
      </c>
      <c r="CO23" s="89">
        <f t="shared" si="124"/>
        <v>28662203.304000001</v>
      </c>
      <c r="CP23" s="89">
        <f t="shared" si="124"/>
        <v>28662203.304000001</v>
      </c>
      <c r="CQ23" s="89">
        <f t="shared" si="118"/>
        <v>343946439.648</v>
      </c>
      <c r="CR23" s="89"/>
      <c r="CS23" s="89"/>
      <c r="CT23" s="89"/>
      <c r="CU23" s="89"/>
      <c r="CV23" s="89"/>
      <c r="CW23" s="89"/>
      <c r="CX23" s="89"/>
      <c r="CY23" s="89"/>
      <c r="CZ23" s="89"/>
      <c r="DA23" s="89"/>
      <c r="DB23" s="89"/>
      <c r="DC23" s="89"/>
      <c r="DD23" s="89"/>
      <c r="DE23" s="89"/>
      <c r="DF23" s="89"/>
      <c r="DG23" s="89"/>
      <c r="DH23" s="89"/>
      <c r="DI23" s="89"/>
      <c r="DJ23" s="89"/>
      <c r="DK23" s="89"/>
    </row>
    <row r="24" spans="1:147" ht="14.25" customHeight="1" thickBot="1" x14ac:dyDescent="0.45">
      <c r="A24" s="86"/>
      <c r="B24" s="530" t="s">
        <v>620</v>
      </c>
      <c r="C24" s="92">
        <f t="shared" si="107"/>
        <v>3846461641.9360085</v>
      </c>
      <c r="D24" s="92"/>
      <c r="E24" s="92">
        <f t="shared" ref="E24:P24" si="125">SUM(E25:E46)</f>
        <v>0</v>
      </c>
      <c r="F24" s="92">
        <f t="shared" si="125"/>
        <v>0</v>
      </c>
      <c r="G24" s="92">
        <f t="shared" si="125"/>
        <v>0</v>
      </c>
      <c r="H24" s="92">
        <f t="shared" si="125"/>
        <v>0</v>
      </c>
      <c r="I24" s="92">
        <f t="shared" si="125"/>
        <v>371090.58600000007</v>
      </c>
      <c r="J24" s="92">
        <f t="shared" si="125"/>
        <v>0</v>
      </c>
      <c r="K24" s="92">
        <f t="shared" si="125"/>
        <v>654081.12</v>
      </c>
      <c r="L24" s="92">
        <f t="shared" si="125"/>
        <v>654081.12</v>
      </c>
      <c r="M24" s="92">
        <f t="shared" si="125"/>
        <v>1635202.7999999998</v>
      </c>
      <c r="N24" s="92">
        <f t="shared" si="125"/>
        <v>2253687.11</v>
      </c>
      <c r="O24" s="92">
        <f t="shared" si="125"/>
        <v>3270405.5999999996</v>
      </c>
      <c r="P24" s="92">
        <f t="shared" si="125"/>
        <v>3888889.9099999997</v>
      </c>
      <c r="Q24" s="92">
        <f t="shared" si="108"/>
        <v>12727438.245999999</v>
      </c>
      <c r="R24" s="92">
        <f t="shared" ref="R24:AC24" si="126">SUM(R25:R46)</f>
        <v>3270405.5999999996</v>
      </c>
      <c r="S24" s="92">
        <f t="shared" si="126"/>
        <v>7159295.5099999998</v>
      </c>
      <c r="T24" s="92">
        <f t="shared" si="126"/>
        <v>9811216.7999999989</v>
      </c>
      <c r="U24" s="92">
        <f t="shared" si="126"/>
        <v>13536586.429999998</v>
      </c>
      <c r="V24" s="92">
        <f t="shared" si="126"/>
        <v>16188507.719999997</v>
      </c>
      <c r="W24" s="92">
        <f t="shared" si="126"/>
        <v>19913877.349999994</v>
      </c>
      <c r="X24" s="92">
        <f t="shared" si="126"/>
        <v>22565798.639999997</v>
      </c>
      <c r="Y24" s="92">
        <f t="shared" si="126"/>
        <v>26291168.269999996</v>
      </c>
      <c r="Z24" s="92">
        <f t="shared" si="126"/>
        <v>28943089.559999999</v>
      </c>
      <c r="AA24" s="92">
        <f t="shared" si="126"/>
        <v>32668459.189999998</v>
      </c>
      <c r="AB24" s="92">
        <f t="shared" si="126"/>
        <v>35320380.479999997</v>
      </c>
      <c r="AC24" s="92">
        <f t="shared" si="126"/>
        <v>39045750.109999999</v>
      </c>
      <c r="AD24" s="113">
        <f t="shared" si="109"/>
        <v>254714535.65999997</v>
      </c>
      <c r="AE24" s="92">
        <f t="shared" ref="AE24:AP24" si="127">SUM(AE25:AE46)</f>
        <v>42316155.710000001</v>
      </c>
      <c r="AF24" s="92">
        <f t="shared" si="127"/>
        <v>66853552.040000007</v>
      </c>
      <c r="AG24" s="92">
        <f t="shared" si="127"/>
        <v>50665044.320000008</v>
      </c>
      <c r="AH24" s="92">
        <f t="shared" si="127"/>
        <v>53935449.920000009</v>
      </c>
      <c r="AI24" s="92">
        <f t="shared" si="127"/>
        <v>57042335.24000001</v>
      </c>
      <c r="AJ24" s="92">
        <f t="shared" si="127"/>
        <v>60149220.56000001</v>
      </c>
      <c r="AK24" s="92">
        <f t="shared" si="127"/>
        <v>60149220.56000001</v>
      </c>
      <c r="AL24" s="92">
        <f t="shared" si="127"/>
        <v>60149220.56000001</v>
      </c>
      <c r="AM24" s="92">
        <f t="shared" si="127"/>
        <v>60149220.56000001</v>
      </c>
      <c r="AN24" s="92">
        <f t="shared" si="127"/>
        <v>60149220.56000001</v>
      </c>
      <c r="AO24" s="92">
        <f t="shared" si="127"/>
        <v>60149220.56000001</v>
      </c>
      <c r="AP24" s="92">
        <f t="shared" si="127"/>
        <v>60149220.56000001</v>
      </c>
      <c r="AQ24" s="116">
        <f t="shared" si="112"/>
        <v>691857081.15000021</v>
      </c>
      <c r="AR24" s="92">
        <f t="shared" ref="AR24:BC24" si="128">SUM(AR25:AR46)</f>
        <v>60149220.56000001</v>
      </c>
      <c r="AS24" s="92">
        <f t="shared" si="128"/>
        <v>60149220.56000001</v>
      </c>
      <c r="AT24" s="92">
        <f t="shared" si="128"/>
        <v>60149220.56000001</v>
      </c>
      <c r="AU24" s="92">
        <f t="shared" si="128"/>
        <v>60149220.56000001</v>
      </c>
      <c r="AV24" s="92">
        <f t="shared" si="128"/>
        <v>60149220.56000001</v>
      </c>
      <c r="AW24" s="92">
        <f t="shared" si="128"/>
        <v>60149220.56000001</v>
      </c>
      <c r="AX24" s="92">
        <f t="shared" si="128"/>
        <v>60149220.56000001</v>
      </c>
      <c r="AY24" s="92">
        <f t="shared" si="128"/>
        <v>60149220.56000001</v>
      </c>
      <c r="AZ24" s="92">
        <f t="shared" si="128"/>
        <v>60149220.56000001</v>
      </c>
      <c r="BA24" s="92">
        <f t="shared" si="128"/>
        <v>60149220.56000001</v>
      </c>
      <c r="BB24" s="92">
        <f t="shared" si="128"/>
        <v>60149220.56000001</v>
      </c>
      <c r="BC24" s="92">
        <f t="shared" si="128"/>
        <v>60149220.56000001</v>
      </c>
      <c r="BD24" s="113">
        <f t="shared" si="113"/>
        <v>721790646.72000027</v>
      </c>
      <c r="BE24" s="92">
        <f t="shared" ref="BE24:BP24" si="129">SUM(BE25:BE46)</f>
        <v>60149220.56000001</v>
      </c>
      <c r="BF24" s="92">
        <f t="shared" si="129"/>
        <v>60149220.56000001</v>
      </c>
      <c r="BG24" s="92">
        <f t="shared" si="129"/>
        <v>60149220.56000001</v>
      </c>
      <c r="BH24" s="92">
        <f t="shared" si="129"/>
        <v>60149220.56000001</v>
      </c>
      <c r="BI24" s="92">
        <f t="shared" si="129"/>
        <v>60149220.56000001</v>
      </c>
      <c r="BJ24" s="92">
        <f t="shared" si="129"/>
        <v>60149220.56000001</v>
      </c>
      <c r="BK24" s="92">
        <f t="shared" si="129"/>
        <v>60149220.56000001</v>
      </c>
      <c r="BL24" s="92">
        <f t="shared" si="129"/>
        <v>60149220.56000001</v>
      </c>
      <c r="BM24" s="92">
        <f t="shared" si="129"/>
        <v>60149220.56000001</v>
      </c>
      <c r="BN24" s="92">
        <f t="shared" si="129"/>
        <v>60149220.56000001</v>
      </c>
      <c r="BO24" s="92">
        <f t="shared" si="129"/>
        <v>60149220.56000001</v>
      </c>
      <c r="BP24" s="92">
        <f t="shared" si="129"/>
        <v>60149220.56000001</v>
      </c>
      <c r="BQ24" s="113">
        <f t="shared" si="114"/>
        <v>721790646.72000027</v>
      </c>
      <c r="BR24" s="92">
        <f t="shared" ref="BR24:CC24" si="130">SUM(BR25:BR46)</f>
        <v>60149220.56000001</v>
      </c>
      <c r="BS24" s="92">
        <f t="shared" si="130"/>
        <v>60149220.56000001</v>
      </c>
      <c r="BT24" s="92">
        <f t="shared" si="130"/>
        <v>60149220.56000001</v>
      </c>
      <c r="BU24" s="92">
        <f t="shared" si="130"/>
        <v>60149220.56000001</v>
      </c>
      <c r="BV24" s="92">
        <f t="shared" si="130"/>
        <v>60149220.56000001</v>
      </c>
      <c r="BW24" s="92">
        <f t="shared" si="130"/>
        <v>60149220.56000001</v>
      </c>
      <c r="BX24" s="92">
        <f t="shared" si="130"/>
        <v>60149220.56000001</v>
      </c>
      <c r="BY24" s="92">
        <f t="shared" si="130"/>
        <v>60149220.56000001</v>
      </c>
      <c r="BZ24" s="92">
        <f t="shared" si="130"/>
        <v>60149220.56000001</v>
      </c>
      <c r="CA24" s="92">
        <f t="shared" si="130"/>
        <v>60149220.56000001</v>
      </c>
      <c r="CB24" s="92">
        <f t="shared" si="130"/>
        <v>60149220.56000001</v>
      </c>
      <c r="CC24" s="92">
        <f t="shared" si="130"/>
        <v>60149220.56000001</v>
      </c>
      <c r="CD24" s="113">
        <f t="shared" si="116"/>
        <v>721790646.72000027</v>
      </c>
      <c r="CE24" s="92">
        <f t="shared" ref="CE24:CP24" si="131">SUM(CE25:CE46)</f>
        <v>60149220.56000001</v>
      </c>
      <c r="CF24" s="92">
        <f t="shared" si="131"/>
        <v>60149220.56000001</v>
      </c>
      <c r="CG24" s="92">
        <f t="shared" si="131"/>
        <v>60149220.56000001</v>
      </c>
      <c r="CH24" s="92">
        <f t="shared" si="131"/>
        <v>60149220.56000001</v>
      </c>
      <c r="CI24" s="92">
        <f t="shared" si="131"/>
        <v>60149220.56000001</v>
      </c>
      <c r="CJ24" s="92">
        <f t="shared" si="131"/>
        <v>60149220.56000001</v>
      </c>
      <c r="CK24" s="92">
        <f t="shared" si="131"/>
        <v>60149220.56000001</v>
      </c>
      <c r="CL24" s="92">
        <f t="shared" si="131"/>
        <v>60149220.56000001</v>
      </c>
      <c r="CM24" s="92">
        <f t="shared" si="131"/>
        <v>60149220.56000001</v>
      </c>
      <c r="CN24" s="92">
        <f t="shared" si="131"/>
        <v>60149220.56000001</v>
      </c>
      <c r="CO24" s="92">
        <f t="shared" si="131"/>
        <v>60149220.56000001</v>
      </c>
      <c r="CP24" s="110">
        <f t="shared" si="131"/>
        <v>60149220.56000001</v>
      </c>
      <c r="CQ24" s="92">
        <f t="shared" si="118"/>
        <v>721790646.72000027</v>
      </c>
      <c r="CR24" s="86"/>
      <c r="CS24" s="86"/>
      <c r="CT24" s="86"/>
      <c r="CU24" s="86"/>
      <c r="CV24" s="86"/>
      <c r="CW24" s="86"/>
      <c r="CX24" s="86"/>
      <c r="CY24" s="86"/>
      <c r="CZ24" s="86"/>
      <c r="DA24" s="86"/>
      <c r="DB24" s="86"/>
      <c r="DC24" s="86"/>
      <c r="DD24" s="86"/>
      <c r="DE24" s="86"/>
      <c r="DF24" s="86"/>
      <c r="DG24" s="86"/>
      <c r="DH24" s="86"/>
      <c r="DI24" s="86"/>
      <c r="DJ24" s="86"/>
      <c r="DK24" s="86"/>
    </row>
    <row r="25" spans="1:147" ht="14.25" customHeight="1" outlineLevel="1" x14ac:dyDescent="0.4">
      <c r="A25" s="94">
        <v>4</v>
      </c>
      <c r="B25" s="95" t="s">
        <v>70</v>
      </c>
      <c r="C25" s="86">
        <f t="shared" si="107"/>
        <v>51018327.360000059</v>
      </c>
      <c r="D25" s="44"/>
      <c r="E25" s="44"/>
      <c r="F25" s="44"/>
      <c r="G25" s="44"/>
      <c r="H25" s="44"/>
      <c r="I25" s="44"/>
      <c r="J25" s="95"/>
      <c r="K25" s="44">
        <f>'JV1A Recomplete Wells 1-2 50%WI'!$B$25</f>
        <v>654081.12</v>
      </c>
      <c r="L25" s="44">
        <f>'JV1A Recomplete Wells 1-2 50%WI'!$B$25</f>
        <v>654081.12</v>
      </c>
      <c r="M25" s="44">
        <f>'JV1A Recomplete Wells 1-2 50%WI'!$B$25</f>
        <v>654081.12</v>
      </c>
      <c r="N25" s="44">
        <f>'JV1A Recomplete Wells 1-2 50%WI'!$B$25</f>
        <v>654081.12</v>
      </c>
      <c r="O25" s="44">
        <f>'JV1A Recomplete Wells 1-2 50%WI'!$B$25</f>
        <v>654081.12</v>
      </c>
      <c r="P25" s="44">
        <f t="shared" ref="P25:P27" si="132">O25</f>
        <v>654081.12</v>
      </c>
      <c r="Q25" s="49">
        <f t="shared" si="108"/>
        <v>3924486.72</v>
      </c>
      <c r="R25" s="44">
        <f t="shared" ref="R25:R27" si="133">P25</f>
        <v>654081.12</v>
      </c>
      <c r="S25" s="44">
        <f t="shared" ref="S25:S27" si="134">R25</f>
        <v>654081.12</v>
      </c>
      <c r="T25" s="44">
        <f t="shared" ref="T25:T27" si="135">R25</f>
        <v>654081.12</v>
      </c>
      <c r="U25" s="44">
        <f>T25</f>
        <v>654081.12</v>
      </c>
      <c r="V25" s="44">
        <f>T25</f>
        <v>654081.12</v>
      </c>
      <c r="W25" s="44">
        <f>V25</f>
        <v>654081.12</v>
      </c>
      <c r="X25" s="44">
        <f t="shared" ref="X25:X27" si="136">V25</f>
        <v>654081.12</v>
      </c>
      <c r="Y25" s="44">
        <f t="shared" ref="Y25:Y27" si="137">X25</f>
        <v>654081.12</v>
      </c>
      <c r="Z25" s="44">
        <f t="shared" ref="Z25:Z27" si="138">X25</f>
        <v>654081.12</v>
      </c>
      <c r="AA25" s="44">
        <f t="shared" ref="AA25:AA27" si="139">Z25</f>
        <v>654081.12</v>
      </c>
      <c r="AB25" s="44">
        <f t="shared" ref="AB25:AB27" si="140">Z25</f>
        <v>654081.12</v>
      </c>
      <c r="AC25" s="44">
        <f t="shared" ref="AC25:AC27" si="141">AB25</f>
        <v>654081.12</v>
      </c>
      <c r="AD25" s="89">
        <f t="shared" si="109"/>
        <v>7848973.4400000004</v>
      </c>
      <c r="AE25" s="87">
        <f t="shared" ref="AE25:AE33" si="142">AC25</f>
        <v>654081.12</v>
      </c>
      <c r="AF25" s="44">
        <f t="shared" ref="AF25:AP25" si="143">AE25</f>
        <v>654081.12</v>
      </c>
      <c r="AG25" s="44">
        <f t="shared" si="143"/>
        <v>654081.12</v>
      </c>
      <c r="AH25" s="44">
        <f t="shared" si="143"/>
        <v>654081.12</v>
      </c>
      <c r="AI25" s="44">
        <f t="shared" si="143"/>
        <v>654081.12</v>
      </c>
      <c r="AJ25" s="44">
        <f t="shared" si="143"/>
        <v>654081.12</v>
      </c>
      <c r="AK25" s="44">
        <f t="shared" si="143"/>
        <v>654081.12</v>
      </c>
      <c r="AL25" s="44">
        <f t="shared" si="143"/>
        <v>654081.12</v>
      </c>
      <c r="AM25" s="44">
        <f t="shared" si="143"/>
        <v>654081.12</v>
      </c>
      <c r="AN25" s="44">
        <f t="shared" si="143"/>
        <v>654081.12</v>
      </c>
      <c r="AO25" s="44">
        <f t="shared" si="143"/>
        <v>654081.12</v>
      </c>
      <c r="AP25" s="44">
        <f t="shared" si="143"/>
        <v>654081.12</v>
      </c>
      <c r="AQ25" s="89">
        <f t="shared" si="112"/>
        <v>7848973.4400000004</v>
      </c>
      <c r="AR25" s="87">
        <f t="shared" ref="AR25:AR39" si="144">AP25</f>
        <v>654081.12</v>
      </c>
      <c r="AS25" s="44">
        <f t="shared" ref="AS25:BC25" si="145">AR25</f>
        <v>654081.12</v>
      </c>
      <c r="AT25" s="44">
        <f t="shared" si="145"/>
        <v>654081.12</v>
      </c>
      <c r="AU25" s="44">
        <f t="shared" si="145"/>
        <v>654081.12</v>
      </c>
      <c r="AV25" s="44">
        <f t="shared" si="145"/>
        <v>654081.12</v>
      </c>
      <c r="AW25" s="44">
        <f t="shared" si="145"/>
        <v>654081.12</v>
      </c>
      <c r="AX25" s="44">
        <f t="shared" si="145"/>
        <v>654081.12</v>
      </c>
      <c r="AY25" s="44">
        <f t="shared" si="145"/>
        <v>654081.12</v>
      </c>
      <c r="AZ25" s="44">
        <f t="shared" si="145"/>
        <v>654081.12</v>
      </c>
      <c r="BA25" s="44">
        <f t="shared" si="145"/>
        <v>654081.12</v>
      </c>
      <c r="BB25" s="44">
        <f t="shared" si="145"/>
        <v>654081.12</v>
      </c>
      <c r="BC25" s="44">
        <f t="shared" si="145"/>
        <v>654081.12</v>
      </c>
      <c r="BD25" s="89">
        <f t="shared" si="113"/>
        <v>7848973.4400000004</v>
      </c>
      <c r="BE25" s="87">
        <f t="shared" ref="BE25:BE39" si="146">BC25</f>
        <v>654081.12</v>
      </c>
      <c r="BF25" s="44">
        <f t="shared" ref="BF25:BP25" si="147">BE25</f>
        <v>654081.12</v>
      </c>
      <c r="BG25" s="44">
        <f t="shared" si="147"/>
        <v>654081.12</v>
      </c>
      <c r="BH25" s="44">
        <f t="shared" si="147"/>
        <v>654081.12</v>
      </c>
      <c r="BI25" s="44">
        <f t="shared" si="147"/>
        <v>654081.12</v>
      </c>
      <c r="BJ25" s="44">
        <f t="shared" si="147"/>
        <v>654081.12</v>
      </c>
      <c r="BK25" s="44">
        <f t="shared" si="147"/>
        <v>654081.12</v>
      </c>
      <c r="BL25" s="44">
        <f t="shared" si="147"/>
        <v>654081.12</v>
      </c>
      <c r="BM25" s="44">
        <f t="shared" si="147"/>
        <v>654081.12</v>
      </c>
      <c r="BN25" s="44">
        <f t="shared" si="147"/>
        <v>654081.12</v>
      </c>
      <c r="BO25" s="44">
        <f t="shared" si="147"/>
        <v>654081.12</v>
      </c>
      <c r="BP25" s="44">
        <f t="shared" si="147"/>
        <v>654081.12</v>
      </c>
      <c r="BQ25" s="89">
        <f t="shared" si="114"/>
        <v>7848973.4400000004</v>
      </c>
      <c r="BR25" s="87">
        <f t="shared" ref="BR25:BR39" si="148">BP25</f>
        <v>654081.12</v>
      </c>
      <c r="BS25" s="44">
        <f t="shared" ref="BS25:CC25" si="149">BR25</f>
        <v>654081.12</v>
      </c>
      <c r="BT25" s="44">
        <f t="shared" si="149"/>
        <v>654081.12</v>
      </c>
      <c r="BU25" s="44">
        <f t="shared" si="149"/>
        <v>654081.12</v>
      </c>
      <c r="BV25" s="44">
        <f t="shared" si="149"/>
        <v>654081.12</v>
      </c>
      <c r="BW25" s="44">
        <f t="shared" si="149"/>
        <v>654081.12</v>
      </c>
      <c r="BX25" s="44">
        <f t="shared" si="149"/>
        <v>654081.12</v>
      </c>
      <c r="BY25" s="44">
        <f t="shared" si="149"/>
        <v>654081.12</v>
      </c>
      <c r="BZ25" s="44">
        <f t="shared" si="149"/>
        <v>654081.12</v>
      </c>
      <c r="CA25" s="44">
        <f t="shared" si="149"/>
        <v>654081.12</v>
      </c>
      <c r="CB25" s="44">
        <f t="shared" si="149"/>
        <v>654081.12</v>
      </c>
      <c r="CC25" s="44">
        <f t="shared" si="149"/>
        <v>654081.12</v>
      </c>
      <c r="CD25" s="89">
        <f t="shared" si="116"/>
        <v>7848973.4400000004</v>
      </c>
      <c r="CE25" s="87">
        <f t="shared" ref="CE25:CE39" si="150">CC25</f>
        <v>654081.12</v>
      </c>
      <c r="CF25" s="44">
        <f t="shared" ref="CF25:CP25" si="151">CE25</f>
        <v>654081.12</v>
      </c>
      <c r="CG25" s="44">
        <f t="shared" si="151"/>
        <v>654081.12</v>
      </c>
      <c r="CH25" s="44">
        <f t="shared" si="151"/>
        <v>654081.12</v>
      </c>
      <c r="CI25" s="44">
        <f t="shared" si="151"/>
        <v>654081.12</v>
      </c>
      <c r="CJ25" s="44">
        <f t="shared" si="151"/>
        <v>654081.12</v>
      </c>
      <c r="CK25" s="44">
        <f t="shared" si="151"/>
        <v>654081.12</v>
      </c>
      <c r="CL25" s="44">
        <f t="shared" si="151"/>
        <v>654081.12</v>
      </c>
      <c r="CM25" s="44">
        <f t="shared" si="151"/>
        <v>654081.12</v>
      </c>
      <c r="CN25" s="44">
        <f t="shared" si="151"/>
        <v>654081.12</v>
      </c>
      <c r="CO25" s="44">
        <f t="shared" si="151"/>
        <v>654081.12</v>
      </c>
      <c r="CP25" s="39">
        <f t="shared" si="151"/>
        <v>654081.12</v>
      </c>
      <c r="CQ25" s="86">
        <f t="shared" si="118"/>
        <v>7848973.4400000004</v>
      </c>
      <c r="CR25" s="95"/>
      <c r="CS25" s="95"/>
      <c r="CT25" s="95"/>
      <c r="CU25" s="95"/>
      <c r="CV25" s="95"/>
      <c r="CW25" s="95"/>
      <c r="CX25" s="95"/>
      <c r="CY25" s="95"/>
      <c r="CZ25" s="95"/>
      <c r="DA25" s="95"/>
      <c r="DB25" s="95"/>
      <c r="DC25" s="95"/>
      <c r="DD25" s="95"/>
      <c r="DE25" s="95"/>
      <c r="DF25" s="95"/>
      <c r="DG25" s="95"/>
      <c r="DH25" s="95"/>
      <c r="DI25" s="95"/>
      <c r="DJ25" s="95"/>
      <c r="DK25" s="95"/>
    </row>
    <row r="26" spans="1:147" ht="14.25" customHeight="1" outlineLevel="1" x14ac:dyDescent="0.4">
      <c r="A26" s="95"/>
      <c r="B26" s="95" t="s">
        <v>71</v>
      </c>
      <c r="C26" s="88">
        <f t="shared" si="107"/>
        <v>74565247.680000246</v>
      </c>
      <c r="D26" s="44"/>
      <c r="E26" s="44"/>
      <c r="F26" s="44"/>
      <c r="G26" s="44"/>
      <c r="H26" s="44"/>
      <c r="I26" s="87"/>
      <c r="J26" s="95"/>
      <c r="K26" s="95"/>
      <c r="L26" s="95"/>
      <c r="M26" s="87">
        <f>' JV 1A Wells 3-5 50%WI'!$B$25*3</f>
        <v>981121.67999999993</v>
      </c>
      <c r="N26" s="87">
        <f>' JV 1A Wells 3-5 50%WI'!$B$25*3</f>
        <v>981121.67999999993</v>
      </c>
      <c r="O26" s="87">
        <f>' JV 1A Wells 3-5 50%WI'!$B$25*3</f>
        <v>981121.67999999993</v>
      </c>
      <c r="P26" s="87">
        <f t="shared" si="132"/>
        <v>981121.67999999993</v>
      </c>
      <c r="Q26" s="89">
        <f t="shared" si="108"/>
        <v>3924486.7199999997</v>
      </c>
      <c r="R26" s="87">
        <f t="shared" si="133"/>
        <v>981121.67999999993</v>
      </c>
      <c r="S26" s="87">
        <f t="shared" si="134"/>
        <v>981121.67999999993</v>
      </c>
      <c r="T26" s="87">
        <f t="shared" si="135"/>
        <v>981121.67999999993</v>
      </c>
      <c r="U26" s="87">
        <f>' JV 1A Wells 3-5 50%WI'!$B$25*3</f>
        <v>981121.67999999993</v>
      </c>
      <c r="V26" s="87">
        <f t="shared" ref="V26:W26" si="152">U26</f>
        <v>981121.67999999993</v>
      </c>
      <c r="W26" s="87">
        <f t="shared" si="152"/>
        <v>981121.67999999993</v>
      </c>
      <c r="X26" s="87">
        <f t="shared" si="136"/>
        <v>981121.67999999993</v>
      </c>
      <c r="Y26" s="87">
        <f t="shared" si="137"/>
        <v>981121.67999999993</v>
      </c>
      <c r="Z26" s="87">
        <f t="shared" si="138"/>
        <v>981121.67999999993</v>
      </c>
      <c r="AA26" s="87">
        <f t="shared" si="139"/>
        <v>981121.67999999993</v>
      </c>
      <c r="AB26" s="87">
        <f t="shared" si="140"/>
        <v>981121.67999999993</v>
      </c>
      <c r="AC26" s="87">
        <f t="shared" si="141"/>
        <v>981121.67999999993</v>
      </c>
      <c r="AD26" s="89">
        <f t="shared" si="109"/>
        <v>11773460.159999998</v>
      </c>
      <c r="AE26" s="87">
        <f t="shared" si="142"/>
        <v>981121.67999999993</v>
      </c>
      <c r="AF26" s="44">
        <f t="shared" ref="AF26:AP26" si="153">AE26</f>
        <v>981121.67999999993</v>
      </c>
      <c r="AG26" s="44">
        <f t="shared" si="153"/>
        <v>981121.67999999993</v>
      </c>
      <c r="AH26" s="44">
        <f t="shared" si="153"/>
        <v>981121.67999999993</v>
      </c>
      <c r="AI26" s="44">
        <f t="shared" si="153"/>
        <v>981121.67999999993</v>
      </c>
      <c r="AJ26" s="44">
        <f t="shared" si="153"/>
        <v>981121.67999999993</v>
      </c>
      <c r="AK26" s="44">
        <f t="shared" si="153"/>
        <v>981121.67999999993</v>
      </c>
      <c r="AL26" s="44">
        <f t="shared" si="153"/>
        <v>981121.67999999993</v>
      </c>
      <c r="AM26" s="44">
        <f t="shared" si="153"/>
        <v>981121.67999999993</v>
      </c>
      <c r="AN26" s="44">
        <f t="shared" si="153"/>
        <v>981121.67999999993</v>
      </c>
      <c r="AO26" s="87">
        <f t="shared" si="153"/>
        <v>981121.67999999993</v>
      </c>
      <c r="AP26" s="87">
        <f t="shared" si="153"/>
        <v>981121.67999999993</v>
      </c>
      <c r="AQ26" s="89">
        <f t="shared" si="112"/>
        <v>11773460.159999998</v>
      </c>
      <c r="AR26" s="87">
        <f t="shared" si="144"/>
        <v>981121.67999999993</v>
      </c>
      <c r="AS26" s="87">
        <f t="shared" ref="AS26:BC26" si="154">AR26</f>
        <v>981121.67999999993</v>
      </c>
      <c r="AT26" s="87">
        <f t="shared" si="154"/>
        <v>981121.67999999993</v>
      </c>
      <c r="AU26" s="87">
        <f t="shared" si="154"/>
        <v>981121.67999999993</v>
      </c>
      <c r="AV26" s="87">
        <f t="shared" si="154"/>
        <v>981121.67999999993</v>
      </c>
      <c r="AW26" s="87">
        <f t="shared" si="154"/>
        <v>981121.67999999993</v>
      </c>
      <c r="AX26" s="87">
        <f t="shared" si="154"/>
        <v>981121.67999999993</v>
      </c>
      <c r="AY26" s="87">
        <f t="shared" si="154"/>
        <v>981121.67999999993</v>
      </c>
      <c r="AZ26" s="87">
        <f t="shared" si="154"/>
        <v>981121.67999999993</v>
      </c>
      <c r="BA26" s="87">
        <f t="shared" si="154"/>
        <v>981121.67999999993</v>
      </c>
      <c r="BB26" s="87">
        <f t="shared" si="154"/>
        <v>981121.67999999993</v>
      </c>
      <c r="BC26" s="87">
        <f t="shared" si="154"/>
        <v>981121.67999999993</v>
      </c>
      <c r="BD26" s="89">
        <f t="shared" si="113"/>
        <v>11773460.159999998</v>
      </c>
      <c r="BE26" s="87">
        <f t="shared" si="146"/>
        <v>981121.67999999993</v>
      </c>
      <c r="BF26" s="87">
        <f t="shared" ref="BF26:BP26" si="155">BE26</f>
        <v>981121.67999999993</v>
      </c>
      <c r="BG26" s="87">
        <f t="shared" si="155"/>
        <v>981121.67999999993</v>
      </c>
      <c r="BH26" s="87">
        <f t="shared" si="155"/>
        <v>981121.67999999993</v>
      </c>
      <c r="BI26" s="87">
        <f t="shared" si="155"/>
        <v>981121.67999999993</v>
      </c>
      <c r="BJ26" s="87">
        <f t="shared" si="155"/>
        <v>981121.67999999993</v>
      </c>
      <c r="BK26" s="87">
        <f t="shared" si="155"/>
        <v>981121.67999999993</v>
      </c>
      <c r="BL26" s="87">
        <f t="shared" si="155"/>
        <v>981121.67999999993</v>
      </c>
      <c r="BM26" s="87">
        <f t="shared" si="155"/>
        <v>981121.67999999993</v>
      </c>
      <c r="BN26" s="87">
        <f t="shared" si="155"/>
        <v>981121.67999999993</v>
      </c>
      <c r="BO26" s="87">
        <f t="shared" si="155"/>
        <v>981121.67999999993</v>
      </c>
      <c r="BP26" s="87">
        <f t="shared" si="155"/>
        <v>981121.67999999993</v>
      </c>
      <c r="BQ26" s="89">
        <f t="shared" si="114"/>
        <v>11773460.159999998</v>
      </c>
      <c r="BR26" s="87">
        <f t="shared" si="148"/>
        <v>981121.67999999993</v>
      </c>
      <c r="BS26" s="87">
        <f t="shared" ref="BS26:CC26" si="156">BR26</f>
        <v>981121.67999999993</v>
      </c>
      <c r="BT26" s="87">
        <f t="shared" si="156"/>
        <v>981121.67999999993</v>
      </c>
      <c r="BU26" s="87">
        <f t="shared" si="156"/>
        <v>981121.67999999993</v>
      </c>
      <c r="BV26" s="87">
        <f t="shared" si="156"/>
        <v>981121.67999999993</v>
      </c>
      <c r="BW26" s="87">
        <f t="shared" si="156"/>
        <v>981121.67999999993</v>
      </c>
      <c r="BX26" s="87">
        <f t="shared" si="156"/>
        <v>981121.67999999993</v>
      </c>
      <c r="BY26" s="87">
        <f t="shared" si="156"/>
        <v>981121.67999999993</v>
      </c>
      <c r="BZ26" s="87">
        <f t="shared" si="156"/>
        <v>981121.67999999993</v>
      </c>
      <c r="CA26" s="87">
        <f t="shared" si="156"/>
        <v>981121.67999999993</v>
      </c>
      <c r="CB26" s="87">
        <f t="shared" si="156"/>
        <v>981121.67999999993</v>
      </c>
      <c r="CC26" s="87">
        <f t="shared" si="156"/>
        <v>981121.67999999993</v>
      </c>
      <c r="CD26" s="89">
        <f t="shared" si="116"/>
        <v>11773460.159999998</v>
      </c>
      <c r="CE26" s="87">
        <f t="shared" si="150"/>
        <v>981121.67999999993</v>
      </c>
      <c r="CF26" s="87">
        <f t="shared" ref="CF26:CP26" si="157">CE26</f>
        <v>981121.67999999993</v>
      </c>
      <c r="CG26" s="87">
        <f t="shared" si="157"/>
        <v>981121.67999999993</v>
      </c>
      <c r="CH26" s="87">
        <f t="shared" si="157"/>
        <v>981121.67999999993</v>
      </c>
      <c r="CI26" s="87">
        <f t="shared" si="157"/>
        <v>981121.67999999993</v>
      </c>
      <c r="CJ26" s="87">
        <f t="shared" si="157"/>
        <v>981121.67999999993</v>
      </c>
      <c r="CK26" s="87">
        <f t="shared" si="157"/>
        <v>981121.67999999993</v>
      </c>
      <c r="CL26" s="87">
        <f t="shared" si="157"/>
        <v>981121.67999999993</v>
      </c>
      <c r="CM26" s="87">
        <f t="shared" si="157"/>
        <v>981121.67999999993</v>
      </c>
      <c r="CN26" s="87">
        <f t="shared" si="157"/>
        <v>981121.67999999993</v>
      </c>
      <c r="CO26" s="87">
        <f t="shared" si="157"/>
        <v>981121.67999999993</v>
      </c>
      <c r="CP26" s="38">
        <f t="shared" si="157"/>
        <v>981121.67999999993</v>
      </c>
      <c r="CQ26" s="88">
        <f t="shared" si="118"/>
        <v>11773460.159999998</v>
      </c>
      <c r="CR26" s="95"/>
      <c r="CS26" s="95"/>
      <c r="CT26" s="95"/>
      <c r="CU26" s="95"/>
      <c r="CV26" s="95"/>
      <c r="CW26" s="95"/>
      <c r="CX26" s="95"/>
      <c r="CY26" s="95"/>
      <c r="CZ26" s="95"/>
      <c r="DA26" s="95"/>
      <c r="DB26" s="95"/>
      <c r="DC26" s="95"/>
      <c r="DD26" s="95"/>
      <c r="DE26" s="95"/>
      <c r="DF26" s="95"/>
      <c r="DG26" s="95"/>
      <c r="DH26" s="95"/>
      <c r="DI26" s="95"/>
      <c r="DJ26" s="95"/>
      <c r="DK26" s="95"/>
    </row>
    <row r="27" spans="1:147" ht="14.25" customHeight="1" outlineLevel="1" x14ac:dyDescent="0.4">
      <c r="A27" s="94">
        <v>5</v>
      </c>
      <c r="B27" s="95" t="s">
        <v>72</v>
      </c>
      <c r="C27" s="88">
        <f t="shared" si="107"/>
        <v>121005007.2000003</v>
      </c>
      <c r="D27" s="44"/>
      <c r="E27" s="44"/>
      <c r="F27" s="44"/>
      <c r="G27" s="44"/>
      <c r="H27" s="44"/>
      <c r="I27" s="87"/>
      <c r="J27" s="95"/>
      <c r="K27" s="95"/>
      <c r="L27" s="95"/>
      <c r="M27" s="95"/>
      <c r="N27" s="87"/>
      <c r="O27" s="87">
        <f>'JV2 High Creeek Wells 50%W.I.'!$B$25*5</f>
        <v>1635202.8</v>
      </c>
      <c r="P27" s="87">
        <f t="shared" si="132"/>
        <v>1635202.8</v>
      </c>
      <c r="Q27" s="89">
        <f t="shared" si="108"/>
        <v>3270405.6</v>
      </c>
      <c r="R27" s="87">
        <f t="shared" si="133"/>
        <v>1635202.8</v>
      </c>
      <c r="S27" s="87">
        <f t="shared" si="134"/>
        <v>1635202.8</v>
      </c>
      <c r="T27" s="87">
        <f t="shared" si="135"/>
        <v>1635202.8</v>
      </c>
      <c r="U27" s="87">
        <f>'JV2 High Creeek Wells 50%W.I.'!$B$25*5</f>
        <v>1635202.8</v>
      </c>
      <c r="V27" s="87">
        <f t="shared" ref="V27:W27" si="158">U27</f>
        <v>1635202.8</v>
      </c>
      <c r="W27" s="87">
        <f t="shared" si="158"/>
        <v>1635202.8</v>
      </c>
      <c r="X27" s="87">
        <f t="shared" si="136"/>
        <v>1635202.8</v>
      </c>
      <c r="Y27" s="87">
        <f t="shared" si="137"/>
        <v>1635202.8</v>
      </c>
      <c r="Z27" s="87">
        <f t="shared" si="138"/>
        <v>1635202.8</v>
      </c>
      <c r="AA27" s="87">
        <f t="shared" si="139"/>
        <v>1635202.8</v>
      </c>
      <c r="AB27" s="87">
        <f t="shared" si="140"/>
        <v>1635202.8</v>
      </c>
      <c r="AC27" s="87">
        <f t="shared" si="141"/>
        <v>1635202.8</v>
      </c>
      <c r="AD27" s="89">
        <f t="shared" si="109"/>
        <v>19622433.600000005</v>
      </c>
      <c r="AE27" s="87">
        <f t="shared" si="142"/>
        <v>1635202.8</v>
      </c>
      <c r="AF27" s="44">
        <f t="shared" ref="AF27:AP27" si="159">AE27</f>
        <v>1635202.8</v>
      </c>
      <c r="AG27" s="44">
        <f t="shared" si="159"/>
        <v>1635202.8</v>
      </c>
      <c r="AH27" s="44">
        <f t="shared" si="159"/>
        <v>1635202.8</v>
      </c>
      <c r="AI27" s="44">
        <f t="shared" si="159"/>
        <v>1635202.8</v>
      </c>
      <c r="AJ27" s="44">
        <f t="shared" si="159"/>
        <v>1635202.8</v>
      </c>
      <c r="AK27" s="44">
        <f t="shared" si="159"/>
        <v>1635202.8</v>
      </c>
      <c r="AL27" s="44">
        <f t="shared" si="159"/>
        <v>1635202.8</v>
      </c>
      <c r="AM27" s="44">
        <f t="shared" si="159"/>
        <v>1635202.8</v>
      </c>
      <c r="AN27" s="44">
        <f t="shared" si="159"/>
        <v>1635202.8</v>
      </c>
      <c r="AO27" s="87">
        <f t="shared" si="159"/>
        <v>1635202.8</v>
      </c>
      <c r="AP27" s="87">
        <f t="shared" si="159"/>
        <v>1635202.8</v>
      </c>
      <c r="AQ27" s="89">
        <f t="shared" si="112"/>
        <v>19622433.600000005</v>
      </c>
      <c r="AR27" s="87">
        <f t="shared" si="144"/>
        <v>1635202.8</v>
      </c>
      <c r="AS27" s="87">
        <f t="shared" ref="AS27:BC27" si="160">AR27</f>
        <v>1635202.8</v>
      </c>
      <c r="AT27" s="87">
        <f t="shared" si="160"/>
        <v>1635202.8</v>
      </c>
      <c r="AU27" s="87">
        <f t="shared" si="160"/>
        <v>1635202.8</v>
      </c>
      <c r="AV27" s="87">
        <f t="shared" si="160"/>
        <v>1635202.8</v>
      </c>
      <c r="AW27" s="87">
        <f t="shared" si="160"/>
        <v>1635202.8</v>
      </c>
      <c r="AX27" s="87">
        <f t="shared" si="160"/>
        <v>1635202.8</v>
      </c>
      <c r="AY27" s="87">
        <f t="shared" si="160"/>
        <v>1635202.8</v>
      </c>
      <c r="AZ27" s="87">
        <f t="shared" si="160"/>
        <v>1635202.8</v>
      </c>
      <c r="BA27" s="87">
        <f t="shared" si="160"/>
        <v>1635202.8</v>
      </c>
      <c r="BB27" s="87">
        <f t="shared" si="160"/>
        <v>1635202.8</v>
      </c>
      <c r="BC27" s="87">
        <f t="shared" si="160"/>
        <v>1635202.8</v>
      </c>
      <c r="BD27" s="89">
        <f t="shared" si="113"/>
        <v>19622433.600000005</v>
      </c>
      <c r="BE27" s="87">
        <f t="shared" si="146"/>
        <v>1635202.8</v>
      </c>
      <c r="BF27" s="87">
        <f t="shared" ref="BF27:BP27" si="161">BE27</f>
        <v>1635202.8</v>
      </c>
      <c r="BG27" s="87">
        <f t="shared" si="161"/>
        <v>1635202.8</v>
      </c>
      <c r="BH27" s="87">
        <f t="shared" si="161"/>
        <v>1635202.8</v>
      </c>
      <c r="BI27" s="87">
        <f t="shared" si="161"/>
        <v>1635202.8</v>
      </c>
      <c r="BJ27" s="87">
        <f t="shared" si="161"/>
        <v>1635202.8</v>
      </c>
      <c r="BK27" s="87">
        <f t="shared" si="161"/>
        <v>1635202.8</v>
      </c>
      <c r="BL27" s="87">
        <f t="shared" si="161"/>
        <v>1635202.8</v>
      </c>
      <c r="BM27" s="87">
        <f t="shared" si="161"/>
        <v>1635202.8</v>
      </c>
      <c r="BN27" s="87">
        <f t="shared" si="161"/>
        <v>1635202.8</v>
      </c>
      <c r="BO27" s="87">
        <f t="shared" si="161"/>
        <v>1635202.8</v>
      </c>
      <c r="BP27" s="87">
        <f t="shared" si="161"/>
        <v>1635202.8</v>
      </c>
      <c r="BQ27" s="89">
        <f t="shared" si="114"/>
        <v>19622433.600000005</v>
      </c>
      <c r="BR27" s="87">
        <f t="shared" si="148"/>
        <v>1635202.8</v>
      </c>
      <c r="BS27" s="87">
        <f t="shared" ref="BS27:CC27" si="162">BR27</f>
        <v>1635202.8</v>
      </c>
      <c r="BT27" s="87">
        <f t="shared" si="162"/>
        <v>1635202.8</v>
      </c>
      <c r="BU27" s="87">
        <f t="shared" si="162"/>
        <v>1635202.8</v>
      </c>
      <c r="BV27" s="87">
        <f t="shared" si="162"/>
        <v>1635202.8</v>
      </c>
      <c r="BW27" s="87">
        <f t="shared" si="162"/>
        <v>1635202.8</v>
      </c>
      <c r="BX27" s="87">
        <f t="shared" si="162"/>
        <v>1635202.8</v>
      </c>
      <c r="BY27" s="87">
        <f t="shared" si="162"/>
        <v>1635202.8</v>
      </c>
      <c r="BZ27" s="87">
        <f t="shared" si="162"/>
        <v>1635202.8</v>
      </c>
      <c r="CA27" s="87">
        <f t="shared" si="162"/>
        <v>1635202.8</v>
      </c>
      <c r="CB27" s="87">
        <f t="shared" si="162"/>
        <v>1635202.8</v>
      </c>
      <c r="CC27" s="87">
        <f t="shared" si="162"/>
        <v>1635202.8</v>
      </c>
      <c r="CD27" s="89">
        <f t="shared" si="116"/>
        <v>19622433.600000005</v>
      </c>
      <c r="CE27" s="87">
        <f t="shared" si="150"/>
        <v>1635202.8</v>
      </c>
      <c r="CF27" s="87">
        <f t="shared" ref="CF27:CP27" si="163">CE27</f>
        <v>1635202.8</v>
      </c>
      <c r="CG27" s="87">
        <f t="shared" si="163"/>
        <v>1635202.8</v>
      </c>
      <c r="CH27" s="87">
        <f t="shared" si="163"/>
        <v>1635202.8</v>
      </c>
      <c r="CI27" s="87">
        <f t="shared" si="163"/>
        <v>1635202.8</v>
      </c>
      <c r="CJ27" s="87">
        <f t="shared" si="163"/>
        <v>1635202.8</v>
      </c>
      <c r="CK27" s="87">
        <f t="shared" si="163"/>
        <v>1635202.8</v>
      </c>
      <c r="CL27" s="87">
        <f t="shared" si="163"/>
        <v>1635202.8</v>
      </c>
      <c r="CM27" s="87">
        <f t="shared" si="163"/>
        <v>1635202.8</v>
      </c>
      <c r="CN27" s="87">
        <f t="shared" si="163"/>
        <v>1635202.8</v>
      </c>
      <c r="CO27" s="87">
        <f t="shared" si="163"/>
        <v>1635202.8</v>
      </c>
      <c r="CP27" s="38">
        <f t="shared" si="163"/>
        <v>1635202.8</v>
      </c>
      <c r="CQ27" s="88">
        <f t="shared" si="118"/>
        <v>19622433.600000005</v>
      </c>
      <c r="CR27" s="95"/>
      <c r="CS27" s="95"/>
      <c r="CT27" s="95"/>
      <c r="CU27" s="95"/>
      <c r="CV27" s="95"/>
      <c r="CW27" s="95"/>
      <c r="CX27" s="95"/>
      <c r="CY27" s="95"/>
      <c r="CZ27" s="95"/>
      <c r="DA27" s="95"/>
      <c r="DB27" s="95"/>
      <c r="DC27" s="95"/>
      <c r="DD27" s="95"/>
      <c r="DE27" s="95"/>
      <c r="DF27" s="95"/>
      <c r="DG27" s="95"/>
      <c r="DH27" s="95"/>
      <c r="DI27" s="95"/>
      <c r="DJ27" s="95"/>
      <c r="DK27" s="95"/>
    </row>
    <row r="28" spans="1:147" ht="14.25" customHeight="1" outlineLevel="1" x14ac:dyDescent="0.4">
      <c r="A28" s="94">
        <v>6</v>
      </c>
      <c r="B28" s="95" t="s">
        <v>73</v>
      </c>
      <c r="C28" s="88">
        <f t="shared" si="107"/>
        <v>232198797.60000041</v>
      </c>
      <c r="D28" s="44"/>
      <c r="E28" s="44"/>
      <c r="F28" s="44"/>
      <c r="G28" s="44"/>
      <c r="H28" s="44"/>
      <c r="I28" s="87"/>
      <c r="J28" s="95"/>
      <c r="K28" s="95"/>
      <c r="L28" s="95"/>
      <c r="M28" s="95"/>
      <c r="N28" s="87"/>
      <c r="O28" s="87"/>
      <c r="P28" s="87"/>
      <c r="Q28" s="89">
        <f t="shared" si="108"/>
        <v>0</v>
      </c>
      <c r="S28" s="87">
        <f>'JV3 High Creek Wells 100%WI'!$B$25*5</f>
        <v>3270405.6</v>
      </c>
      <c r="T28" s="87">
        <f>S28</f>
        <v>3270405.6</v>
      </c>
      <c r="U28" s="87">
        <f t="shared" ref="U28:AC28" si="164">T28</f>
        <v>3270405.6</v>
      </c>
      <c r="V28" s="87">
        <f t="shared" si="164"/>
        <v>3270405.6</v>
      </c>
      <c r="W28" s="87">
        <f t="shared" si="164"/>
        <v>3270405.6</v>
      </c>
      <c r="X28" s="87">
        <f t="shared" si="164"/>
        <v>3270405.6</v>
      </c>
      <c r="Y28" s="87">
        <f t="shared" si="164"/>
        <v>3270405.6</v>
      </c>
      <c r="Z28" s="87">
        <f t="shared" si="164"/>
        <v>3270405.6</v>
      </c>
      <c r="AA28" s="87">
        <f t="shared" si="164"/>
        <v>3270405.6</v>
      </c>
      <c r="AB28" s="87">
        <f t="shared" si="164"/>
        <v>3270405.6</v>
      </c>
      <c r="AC28" s="87">
        <f t="shared" si="164"/>
        <v>3270405.6</v>
      </c>
      <c r="AD28" s="89">
        <f t="shared" si="109"/>
        <v>35974461.600000009</v>
      </c>
      <c r="AE28" s="87">
        <f t="shared" si="142"/>
        <v>3270405.6</v>
      </c>
      <c r="AF28" s="87">
        <f t="shared" ref="AF28:AP28" si="165">AE28</f>
        <v>3270405.6</v>
      </c>
      <c r="AG28" s="87">
        <f t="shared" si="165"/>
        <v>3270405.6</v>
      </c>
      <c r="AH28" s="87">
        <f t="shared" si="165"/>
        <v>3270405.6</v>
      </c>
      <c r="AI28" s="87">
        <f t="shared" si="165"/>
        <v>3270405.6</v>
      </c>
      <c r="AJ28" s="87">
        <f t="shared" si="165"/>
        <v>3270405.6</v>
      </c>
      <c r="AK28" s="87">
        <f t="shared" si="165"/>
        <v>3270405.6</v>
      </c>
      <c r="AL28" s="87">
        <f t="shared" si="165"/>
        <v>3270405.6</v>
      </c>
      <c r="AM28" s="87">
        <f t="shared" si="165"/>
        <v>3270405.6</v>
      </c>
      <c r="AN28" s="87">
        <f t="shared" si="165"/>
        <v>3270405.6</v>
      </c>
      <c r="AO28" s="87">
        <f t="shared" si="165"/>
        <v>3270405.6</v>
      </c>
      <c r="AP28" s="87">
        <f t="shared" si="165"/>
        <v>3270405.6</v>
      </c>
      <c r="AQ28" s="89">
        <f t="shared" si="112"/>
        <v>39244867.20000001</v>
      </c>
      <c r="AR28" s="87">
        <f t="shared" si="144"/>
        <v>3270405.6</v>
      </c>
      <c r="AS28" s="87">
        <f t="shared" ref="AS28:BC28" si="166">AR28</f>
        <v>3270405.6</v>
      </c>
      <c r="AT28" s="87">
        <f t="shared" si="166"/>
        <v>3270405.6</v>
      </c>
      <c r="AU28" s="87">
        <f t="shared" si="166"/>
        <v>3270405.6</v>
      </c>
      <c r="AV28" s="87">
        <f t="shared" si="166"/>
        <v>3270405.6</v>
      </c>
      <c r="AW28" s="87">
        <f t="shared" si="166"/>
        <v>3270405.6</v>
      </c>
      <c r="AX28" s="87">
        <f t="shared" si="166"/>
        <v>3270405.6</v>
      </c>
      <c r="AY28" s="87">
        <f t="shared" si="166"/>
        <v>3270405.6</v>
      </c>
      <c r="AZ28" s="87">
        <f t="shared" si="166"/>
        <v>3270405.6</v>
      </c>
      <c r="BA28" s="87">
        <f t="shared" si="166"/>
        <v>3270405.6</v>
      </c>
      <c r="BB28" s="87">
        <f t="shared" si="166"/>
        <v>3270405.6</v>
      </c>
      <c r="BC28" s="87">
        <f t="shared" si="166"/>
        <v>3270405.6</v>
      </c>
      <c r="BD28" s="89">
        <f t="shared" si="113"/>
        <v>39244867.20000001</v>
      </c>
      <c r="BE28" s="87">
        <f t="shared" si="146"/>
        <v>3270405.6</v>
      </c>
      <c r="BF28" s="87">
        <f t="shared" ref="BF28:BP28" si="167">BE28</f>
        <v>3270405.6</v>
      </c>
      <c r="BG28" s="87">
        <f t="shared" si="167"/>
        <v>3270405.6</v>
      </c>
      <c r="BH28" s="87">
        <f t="shared" si="167"/>
        <v>3270405.6</v>
      </c>
      <c r="BI28" s="87">
        <f t="shared" si="167"/>
        <v>3270405.6</v>
      </c>
      <c r="BJ28" s="87">
        <f t="shared" si="167"/>
        <v>3270405.6</v>
      </c>
      <c r="BK28" s="87">
        <f t="shared" si="167"/>
        <v>3270405.6</v>
      </c>
      <c r="BL28" s="87">
        <f t="shared" si="167"/>
        <v>3270405.6</v>
      </c>
      <c r="BM28" s="87">
        <f t="shared" si="167"/>
        <v>3270405.6</v>
      </c>
      <c r="BN28" s="87">
        <f t="shared" si="167"/>
        <v>3270405.6</v>
      </c>
      <c r="BO28" s="87">
        <f t="shared" si="167"/>
        <v>3270405.6</v>
      </c>
      <c r="BP28" s="87">
        <f t="shared" si="167"/>
        <v>3270405.6</v>
      </c>
      <c r="BQ28" s="89">
        <f t="shared" si="114"/>
        <v>39244867.20000001</v>
      </c>
      <c r="BR28" s="87">
        <f t="shared" si="148"/>
        <v>3270405.6</v>
      </c>
      <c r="BS28" s="87">
        <f t="shared" ref="BS28:CC28" si="168">BR28</f>
        <v>3270405.6</v>
      </c>
      <c r="BT28" s="87">
        <f t="shared" si="168"/>
        <v>3270405.6</v>
      </c>
      <c r="BU28" s="87">
        <f t="shared" si="168"/>
        <v>3270405.6</v>
      </c>
      <c r="BV28" s="87">
        <f t="shared" si="168"/>
        <v>3270405.6</v>
      </c>
      <c r="BW28" s="87">
        <f t="shared" si="168"/>
        <v>3270405.6</v>
      </c>
      <c r="BX28" s="87">
        <f t="shared" si="168"/>
        <v>3270405.6</v>
      </c>
      <c r="BY28" s="87">
        <f t="shared" si="168"/>
        <v>3270405.6</v>
      </c>
      <c r="BZ28" s="87">
        <f t="shared" si="168"/>
        <v>3270405.6</v>
      </c>
      <c r="CA28" s="87">
        <f t="shared" si="168"/>
        <v>3270405.6</v>
      </c>
      <c r="CB28" s="87">
        <f t="shared" si="168"/>
        <v>3270405.6</v>
      </c>
      <c r="CC28" s="87">
        <f t="shared" si="168"/>
        <v>3270405.6</v>
      </c>
      <c r="CD28" s="89">
        <f t="shared" si="116"/>
        <v>39244867.20000001</v>
      </c>
      <c r="CE28" s="87">
        <f t="shared" si="150"/>
        <v>3270405.6</v>
      </c>
      <c r="CF28" s="87">
        <f t="shared" ref="CF28:CP28" si="169">CE28</f>
        <v>3270405.6</v>
      </c>
      <c r="CG28" s="87">
        <f t="shared" si="169"/>
        <v>3270405.6</v>
      </c>
      <c r="CH28" s="87">
        <f t="shared" si="169"/>
        <v>3270405.6</v>
      </c>
      <c r="CI28" s="87">
        <f t="shared" si="169"/>
        <v>3270405.6</v>
      </c>
      <c r="CJ28" s="87">
        <f t="shared" si="169"/>
        <v>3270405.6</v>
      </c>
      <c r="CK28" s="87">
        <f t="shared" si="169"/>
        <v>3270405.6</v>
      </c>
      <c r="CL28" s="87">
        <f t="shared" si="169"/>
        <v>3270405.6</v>
      </c>
      <c r="CM28" s="87">
        <f t="shared" si="169"/>
        <v>3270405.6</v>
      </c>
      <c r="CN28" s="87">
        <f t="shared" si="169"/>
        <v>3270405.6</v>
      </c>
      <c r="CO28" s="87">
        <f t="shared" si="169"/>
        <v>3270405.6</v>
      </c>
      <c r="CP28" s="38">
        <f t="shared" si="169"/>
        <v>3270405.6</v>
      </c>
      <c r="CQ28" s="88">
        <f t="shared" si="118"/>
        <v>39244867.20000001</v>
      </c>
      <c r="CR28" s="95"/>
      <c r="CS28" s="95"/>
      <c r="CT28" s="95"/>
      <c r="CU28" s="95"/>
      <c r="CV28" s="95"/>
      <c r="CW28" s="95"/>
      <c r="CX28" s="95"/>
      <c r="CY28" s="95"/>
      <c r="CZ28" s="95"/>
      <c r="DA28" s="95"/>
      <c r="DB28" s="95"/>
      <c r="DC28" s="95"/>
      <c r="DD28" s="95"/>
      <c r="DE28" s="95"/>
      <c r="DF28" s="95"/>
      <c r="DG28" s="95"/>
      <c r="DH28" s="95"/>
      <c r="DI28" s="95"/>
      <c r="DJ28" s="95"/>
      <c r="DK28" s="95"/>
    </row>
    <row r="29" spans="1:147" ht="14.25" customHeight="1" outlineLevel="1" x14ac:dyDescent="0.4">
      <c r="A29" s="94"/>
      <c r="B29" s="95" t="s">
        <v>74</v>
      </c>
      <c r="C29" s="88">
        <f t="shared" si="107"/>
        <v>228928392.00000036</v>
      </c>
      <c r="D29" s="44"/>
      <c r="E29" s="44"/>
      <c r="F29" s="95"/>
      <c r="G29" s="95"/>
      <c r="H29" s="95"/>
      <c r="I29" s="87"/>
      <c r="J29" s="87"/>
      <c r="K29" s="87"/>
      <c r="L29" s="87"/>
      <c r="M29" s="87"/>
      <c r="N29" s="87"/>
      <c r="O29" s="87"/>
      <c r="P29" s="87"/>
      <c r="Q29" s="89">
        <f t="shared" si="108"/>
        <v>0</v>
      </c>
      <c r="R29" s="95"/>
      <c r="S29" s="87"/>
      <c r="T29" s="87">
        <f>'JV3 High Creek Wells 100%WI'!$B$25*5</f>
        <v>3270405.6</v>
      </c>
      <c r="U29" s="87">
        <f>'JV3 High Creek Wells 100%WI'!$B$25*5</f>
        <v>3270405.6</v>
      </c>
      <c r="V29" s="87">
        <f>'JV3 High Creek Wells 100%WI'!$B$25*5</f>
        <v>3270405.6</v>
      </c>
      <c r="W29" s="87">
        <f>'JV3 High Creek Wells 100%WI'!$B$25*5</f>
        <v>3270405.6</v>
      </c>
      <c r="X29" s="87">
        <f>'JV3 High Creek Wells 100%WI'!$B$25*5</f>
        <v>3270405.6</v>
      </c>
      <c r="Y29" s="87">
        <f>'JV3 High Creek Wells 100%WI'!$B$25*5</f>
        <v>3270405.6</v>
      </c>
      <c r="Z29" s="87">
        <f>'JV3 High Creek Wells 100%WI'!$B$25*5</f>
        <v>3270405.6</v>
      </c>
      <c r="AA29" s="87">
        <f>'JV3 High Creek Wells 100%WI'!$B$25*5</f>
        <v>3270405.6</v>
      </c>
      <c r="AB29" s="87">
        <f>'JV3 High Creek Wells 100%WI'!$B$25*5</f>
        <v>3270405.6</v>
      </c>
      <c r="AC29" s="87">
        <f>'JV3 High Creek Wells 100%WI'!$B$25*5</f>
        <v>3270405.6</v>
      </c>
      <c r="AD29" s="89">
        <f t="shared" si="109"/>
        <v>32704056.000000007</v>
      </c>
      <c r="AE29" s="87">
        <f t="shared" si="142"/>
        <v>3270405.6</v>
      </c>
      <c r="AF29" s="44">
        <f t="shared" ref="AF29:AP29" si="170">AE29</f>
        <v>3270405.6</v>
      </c>
      <c r="AG29" s="44">
        <f t="shared" si="170"/>
        <v>3270405.6</v>
      </c>
      <c r="AH29" s="44">
        <f t="shared" si="170"/>
        <v>3270405.6</v>
      </c>
      <c r="AI29" s="44">
        <f t="shared" si="170"/>
        <v>3270405.6</v>
      </c>
      <c r="AJ29" s="44">
        <f t="shared" si="170"/>
        <v>3270405.6</v>
      </c>
      <c r="AK29" s="44">
        <f t="shared" si="170"/>
        <v>3270405.6</v>
      </c>
      <c r="AL29" s="44">
        <f t="shared" si="170"/>
        <v>3270405.6</v>
      </c>
      <c r="AM29" s="44">
        <f t="shared" si="170"/>
        <v>3270405.6</v>
      </c>
      <c r="AN29" s="44">
        <f t="shared" si="170"/>
        <v>3270405.6</v>
      </c>
      <c r="AO29" s="87">
        <f t="shared" si="170"/>
        <v>3270405.6</v>
      </c>
      <c r="AP29" s="87">
        <f t="shared" si="170"/>
        <v>3270405.6</v>
      </c>
      <c r="AQ29" s="89">
        <f t="shared" si="112"/>
        <v>39244867.20000001</v>
      </c>
      <c r="AR29" s="87">
        <f t="shared" si="144"/>
        <v>3270405.6</v>
      </c>
      <c r="AS29" s="87">
        <f t="shared" ref="AS29:BC29" si="171">AR29</f>
        <v>3270405.6</v>
      </c>
      <c r="AT29" s="87">
        <f t="shared" si="171"/>
        <v>3270405.6</v>
      </c>
      <c r="AU29" s="87">
        <f t="shared" si="171"/>
        <v>3270405.6</v>
      </c>
      <c r="AV29" s="87">
        <f t="shared" si="171"/>
        <v>3270405.6</v>
      </c>
      <c r="AW29" s="87">
        <f t="shared" si="171"/>
        <v>3270405.6</v>
      </c>
      <c r="AX29" s="87">
        <f t="shared" si="171"/>
        <v>3270405.6</v>
      </c>
      <c r="AY29" s="87">
        <f t="shared" si="171"/>
        <v>3270405.6</v>
      </c>
      <c r="AZ29" s="87">
        <f t="shared" si="171"/>
        <v>3270405.6</v>
      </c>
      <c r="BA29" s="87">
        <f t="shared" si="171"/>
        <v>3270405.6</v>
      </c>
      <c r="BB29" s="87">
        <f t="shared" si="171"/>
        <v>3270405.6</v>
      </c>
      <c r="BC29" s="87">
        <f t="shared" si="171"/>
        <v>3270405.6</v>
      </c>
      <c r="BD29" s="89">
        <f t="shared" si="113"/>
        <v>39244867.20000001</v>
      </c>
      <c r="BE29" s="87">
        <f t="shared" si="146"/>
        <v>3270405.6</v>
      </c>
      <c r="BF29" s="87">
        <f t="shared" ref="BF29:BP29" si="172">BE29</f>
        <v>3270405.6</v>
      </c>
      <c r="BG29" s="87">
        <f t="shared" si="172"/>
        <v>3270405.6</v>
      </c>
      <c r="BH29" s="87">
        <f t="shared" si="172"/>
        <v>3270405.6</v>
      </c>
      <c r="BI29" s="87">
        <f t="shared" si="172"/>
        <v>3270405.6</v>
      </c>
      <c r="BJ29" s="87">
        <f t="shared" si="172"/>
        <v>3270405.6</v>
      </c>
      <c r="BK29" s="87">
        <f t="shared" si="172"/>
        <v>3270405.6</v>
      </c>
      <c r="BL29" s="87">
        <f t="shared" si="172"/>
        <v>3270405.6</v>
      </c>
      <c r="BM29" s="87">
        <f t="shared" si="172"/>
        <v>3270405.6</v>
      </c>
      <c r="BN29" s="87">
        <f t="shared" si="172"/>
        <v>3270405.6</v>
      </c>
      <c r="BO29" s="87">
        <f t="shared" si="172"/>
        <v>3270405.6</v>
      </c>
      <c r="BP29" s="87">
        <f t="shared" si="172"/>
        <v>3270405.6</v>
      </c>
      <c r="BQ29" s="89">
        <f t="shared" si="114"/>
        <v>39244867.20000001</v>
      </c>
      <c r="BR29" s="87">
        <f t="shared" si="148"/>
        <v>3270405.6</v>
      </c>
      <c r="BS29" s="87">
        <f t="shared" ref="BS29:CC29" si="173">BR29</f>
        <v>3270405.6</v>
      </c>
      <c r="BT29" s="87">
        <f t="shared" si="173"/>
        <v>3270405.6</v>
      </c>
      <c r="BU29" s="87">
        <f t="shared" si="173"/>
        <v>3270405.6</v>
      </c>
      <c r="BV29" s="87">
        <f t="shared" si="173"/>
        <v>3270405.6</v>
      </c>
      <c r="BW29" s="87">
        <f t="shared" si="173"/>
        <v>3270405.6</v>
      </c>
      <c r="BX29" s="87">
        <f t="shared" si="173"/>
        <v>3270405.6</v>
      </c>
      <c r="BY29" s="87">
        <f t="shared" si="173"/>
        <v>3270405.6</v>
      </c>
      <c r="BZ29" s="87">
        <f t="shared" si="173"/>
        <v>3270405.6</v>
      </c>
      <c r="CA29" s="87">
        <f t="shared" si="173"/>
        <v>3270405.6</v>
      </c>
      <c r="CB29" s="87">
        <f t="shared" si="173"/>
        <v>3270405.6</v>
      </c>
      <c r="CC29" s="87">
        <f t="shared" si="173"/>
        <v>3270405.6</v>
      </c>
      <c r="CD29" s="89">
        <f t="shared" si="116"/>
        <v>39244867.20000001</v>
      </c>
      <c r="CE29" s="87">
        <f t="shared" si="150"/>
        <v>3270405.6</v>
      </c>
      <c r="CF29" s="87">
        <f t="shared" ref="CF29:CP29" si="174">CE29</f>
        <v>3270405.6</v>
      </c>
      <c r="CG29" s="87">
        <f t="shared" si="174"/>
        <v>3270405.6</v>
      </c>
      <c r="CH29" s="87">
        <f t="shared" si="174"/>
        <v>3270405.6</v>
      </c>
      <c r="CI29" s="87">
        <f t="shared" si="174"/>
        <v>3270405.6</v>
      </c>
      <c r="CJ29" s="87">
        <f t="shared" si="174"/>
        <v>3270405.6</v>
      </c>
      <c r="CK29" s="87">
        <f t="shared" si="174"/>
        <v>3270405.6</v>
      </c>
      <c r="CL29" s="87">
        <f t="shared" si="174"/>
        <v>3270405.6</v>
      </c>
      <c r="CM29" s="87">
        <f t="shared" si="174"/>
        <v>3270405.6</v>
      </c>
      <c r="CN29" s="87">
        <f t="shared" si="174"/>
        <v>3270405.6</v>
      </c>
      <c r="CO29" s="87">
        <f t="shared" si="174"/>
        <v>3270405.6</v>
      </c>
      <c r="CP29" s="38">
        <f t="shared" si="174"/>
        <v>3270405.6</v>
      </c>
      <c r="CQ29" s="88">
        <f t="shared" si="118"/>
        <v>39244867.20000001</v>
      </c>
      <c r="CR29" s="95"/>
      <c r="CS29" s="95"/>
      <c r="CT29" s="95"/>
      <c r="CU29" s="95"/>
      <c r="CV29" s="95"/>
      <c r="CW29" s="95"/>
      <c r="CX29" s="95"/>
      <c r="CY29" s="95"/>
      <c r="CZ29" s="95"/>
      <c r="DA29" s="95"/>
      <c r="DB29" s="95"/>
      <c r="DC29" s="95"/>
      <c r="DD29" s="95"/>
      <c r="DE29" s="95"/>
      <c r="DF29" s="95"/>
      <c r="DG29" s="95"/>
      <c r="DH29" s="95"/>
      <c r="DI29" s="95"/>
      <c r="DJ29" s="95"/>
      <c r="DK29" s="95"/>
    </row>
    <row r="30" spans="1:147" ht="14.25" customHeight="1" outlineLevel="1" x14ac:dyDescent="0.4">
      <c r="A30" s="94"/>
      <c r="B30" s="95" t="s">
        <v>75</v>
      </c>
      <c r="C30" s="88">
        <f t="shared" si="107"/>
        <v>183883691.19999999</v>
      </c>
      <c r="D30" s="44"/>
      <c r="E30" s="44"/>
      <c r="F30" s="95"/>
      <c r="G30" s="95"/>
      <c r="H30" s="95"/>
      <c r="I30" s="87"/>
      <c r="J30" s="87"/>
      <c r="K30" s="87"/>
      <c r="L30" s="87"/>
      <c r="M30" s="87"/>
      <c r="N30" s="87"/>
      <c r="O30" s="87"/>
      <c r="P30" s="87"/>
      <c r="Q30" s="89">
        <f t="shared" si="108"/>
        <v>0</v>
      </c>
      <c r="R30" s="87"/>
      <c r="S30" s="87"/>
      <c r="T30" s="87"/>
      <c r="U30" s="87">
        <f>'JV 1B  Wells 95%WI'!$B$25*5</f>
        <v>3106885.3199999994</v>
      </c>
      <c r="V30" s="543">
        <f>U30</f>
        <v>3106885.3199999994</v>
      </c>
      <c r="W30" s="87">
        <f>U30</f>
        <v>3106885.3199999994</v>
      </c>
      <c r="X30" s="87">
        <f t="shared" ref="X30:AC30" si="175">W30</f>
        <v>3106885.3199999994</v>
      </c>
      <c r="Y30" s="87">
        <f t="shared" si="175"/>
        <v>3106885.3199999994</v>
      </c>
      <c r="Z30" s="87">
        <f t="shared" si="175"/>
        <v>3106885.3199999994</v>
      </c>
      <c r="AA30" s="87">
        <f t="shared" si="175"/>
        <v>3106885.3199999994</v>
      </c>
      <c r="AB30" s="87">
        <f t="shared" si="175"/>
        <v>3106885.3199999994</v>
      </c>
      <c r="AC30" s="87">
        <f t="shared" si="175"/>
        <v>3106885.3199999994</v>
      </c>
      <c r="AD30" s="89">
        <f t="shared" si="109"/>
        <v>27961967.879999999</v>
      </c>
      <c r="AE30" s="87">
        <f t="shared" si="142"/>
        <v>3106885.3199999994</v>
      </c>
      <c r="AF30" s="87">
        <v>2590082</v>
      </c>
      <c r="AG30" s="44">
        <f t="shared" ref="AG30:AP30" si="176">AF30</f>
        <v>2590082</v>
      </c>
      <c r="AH30" s="44">
        <f t="shared" si="176"/>
        <v>2590082</v>
      </c>
      <c r="AI30" s="44">
        <f t="shared" si="176"/>
        <v>2590082</v>
      </c>
      <c r="AJ30" s="44">
        <f t="shared" si="176"/>
        <v>2590082</v>
      </c>
      <c r="AK30" s="44">
        <f t="shared" si="176"/>
        <v>2590082</v>
      </c>
      <c r="AL30" s="44">
        <f t="shared" si="176"/>
        <v>2590082</v>
      </c>
      <c r="AM30" s="44">
        <f t="shared" si="176"/>
        <v>2590082</v>
      </c>
      <c r="AN30" s="44">
        <f t="shared" si="176"/>
        <v>2590082</v>
      </c>
      <c r="AO30" s="87">
        <f t="shared" si="176"/>
        <v>2590082</v>
      </c>
      <c r="AP30" s="87">
        <f t="shared" si="176"/>
        <v>2590082</v>
      </c>
      <c r="AQ30" s="89">
        <f t="shared" si="112"/>
        <v>31597787.32</v>
      </c>
      <c r="AR30" s="87">
        <f t="shared" si="144"/>
        <v>2590082</v>
      </c>
      <c r="AS30" s="87">
        <f t="shared" ref="AS30:BC30" si="177">AR30</f>
        <v>2590082</v>
      </c>
      <c r="AT30" s="87">
        <f t="shared" si="177"/>
        <v>2590082</v>
      </c>
      <c r="AU30" s="87">
        <f t="shared" si="177"/>
        <v>2590082</v>
      </c>
      <c r="AV30" s="87">
        <f t="shared" si="177"/>
        <v>2590082</v>
      </c>
      <c r="AW30" s="87">
        <f t="shared" si="177"/>
        <v>2590082</v>
      </c>
      <c r="AX30" s="87">
        <f t="shared" si="177"/>
        <v>2590082</v>
      </c>
      <c r="AY30" s="87">
        <f t="shared" si="177"/>
        <v>2590082</v>
      </c>
      <c r="AZ30" s="87">
        <f t="shared" si="177"/>
        <v>2590082</v>
      </c>
      <c r="BA30" s="87">
        <f t="shared" si="177"/>
        <v>2590082</v>
      </c>
      <c r="BB30" s="87">
        <f t="shared" si="177"/>
        <v>2590082</v>
      </c>
      <c r="BC30" s="87">
        <f t="shared" si="177"/>
        <v>2590082</v>
      </c>
      <c r="BD30" s="89">
        <f t="shared" si="113"/>
        <v>31080984</v>
      </c>
      <c r="BE30" s="87">
        <f t="shared" si="146"/>
        <v>2590082</v>
      </c>
      <c r="BF30" s="87">
        <f t="shared" ref="BF30:BP30" si="178">BE30</f>
        <v>2590082</v>
      </c>
      <c r="BG30" s="87">
        <f t="shared" si="178"/>
        <v>2590082</v>
      </c>
      <c r="BH30" s="87">
        <f t="shared" si="178"/>
        <v>2590082</v>
      </c>
      <c r="BI30" s="87">
        <f t="shared" si="178"/>
        <v>2590082</v>
      </c>
      <c r="BJ30" s="87">
        <f t="shared" si="178"/>
        <v>2590082</v>
      </c>
      <c r="BK30" s="87">
        <f t="shared" si="178"/>
        <v>2590082</v>
      </c>
      <c r="BL30" s="87">
        <f t="shared" si="178"/>
        <v>2590082</v>
      </c>
      <c r="BM30" s="87">
        <f t="shared" si="178"/>
        <v>2590082</v>
      </c>
      <c r="BN30" s="87">
        <f t="shared" si="178"/>
        <v>2590082</v>
      </c>
      <c r="BO30" s="87">
        <f t="shared" si="178"/>
        <v>2590082</v>
      </c>
      <c r="BP30" s="87">
        <f t="shared" si="178"/>
        <v>2590082</v>
      </c>
      <c r="BQ30" s="89">
        <f t="shared" si="114"/>
        <v>31080984</v>
      </c>
      <c r="BR30" s="87">
        <f t="shared" si="148"/>
        <v>2590082</v>
      </c>
      <c r="BS30" s="87">
        <f t="shared" ref="BS30:CC30" si="179">BR30</f>
        <v>2590082</v>
      </c>
      <c r="BT30" s="87">
        <f t="shared" si="179"/>
        <v>2590082</v>
      </c>
      <c r="BU30" s="87">
        <f t="shared" si="179"/>
        <v>2590082</v>
      </c>
      <c r="BV30" s="87">
        <f t="shared" si="179"/>
        <v>2590082</v>
      </c>
      <c r="BW30" s="87">
        <f t="shared" si="179"/>
        <v>2590082</v>
      </c>
      <c r="BX30" s="87">
        <f t="shared" si="179"/>
        <v>2590082</v>
      </c>
      <c r="BY30" s="87">
        <f t="shared" si="179"/>
        <v>2590082</v>
      </c>
      <c r="BZ30" s="87">
        <f t="shared" si="179"/>
        <v>2590082</v>
      </c>
      <c r="CA30" s="87">
        <f t="shared" si="179"/>
        <v>2590082</v>
      </c>
      <c r="CB30" s="87">
        <f t="shared" si="179"/>
        <v>2590082</v>
      </c>
      <c r="CC30" s="87">
        <f t="shared" si="179"/>
        <v>2590082</v>
      </c>
      <c r="CD30" s="89">
        <f t="shared" si="116"/>
        <v>31080984</v>
      </c>
      <c r="CE30" s="87">
        <f t="shared" si="150"/>
        <v>2590082</v>
      </c>
      <c r="CF30" s="87">
        <f t="shared" ref="CF30:CP30" si="180">CE30</f>
        <v>2590082</v>
      </c>
      <c r="CG30" s="87">
        <f t="shared" si="180"/>
        <v>2590082</v>
      </c>
      <c r="CH30" s="87">
        <f t="shared" si="180"/>
        <v>2590082</v>
      </c>
      <c r="CI30" s="87">
        <f t="shared" si="180"/>
        <v>2590082</v>
      </c>
      <c r="CJ30" s="87">
        <f t="shared" si="180"/>
        <v>2590082</v>
      </c>
      <c r="CK30" s="87">
        <f t="shared" si="180"/>
        <v>2590082</v>
      </c>
      <c r="CL30" s="87">
        <f t="shared" si="180"/>
        <v>2590082</v>
      </c>
      <c r="CM30" s="87">
        <f t="shared" si="180"/>
        <v>2590082</v>
      </c>
      <c r="CN30" s="87">
        <f t="shared" si="180"/>
        <v>2590082</v>
      </c>
      <c r="CO30" s="87">
        <f t="shared" si="180"/>
        <v>2590082</v>
      </c>
      <c r="CP30" s="38">
        <f t="shared" si="180"/>
        <v>2590082</v>
      </c>
      <c r="CQ30" s="88">
        <f t="shared" si="118"/>
        <v>31080984</v>
      </c>
      <c r="CR30" s="95"/>
      <c r="CS30" s="95"/>
      <c r="CT30" s="95"/>
      <c r="CU30" s="95"/>
      <c r="CV30" s="95"/>
      <c r="CW30" s="95"/>
      <c r="CX30" s="95"/>
      <c r="CY30" s="95"/>
      <c r="CZ30" s="95"/>
      <c r="DA30" s="95"/>
      <c r="DB30" s="95"/>
      <c r="DC30" s="95"/>
      <c r="DD30" s="95"/>
      <c r="DE30" s="95"/>
      <c r="DF30" s="95"/>
      <c r="DG30" s="95"/>
      <c r="DH30" s="95"/>
      <c r="DI30" s="95"/>
      <c r="DJ30" s="95"/>
      <c r="DK30" s="95"/>
    </row>
    <row r="31" spans="1:147" ht="14.25" customHeight="1" outlineLevel="1" x14ac:dyDescent="0.4">
      <c r="A31" s="94"/>
      <c r="B31" s="95" t="s">
        <v>76</v>
      </c>
      <c r="C31" s="88">
        <f t="shared" si="107"/>
        <v>222387580.80000037</v>
      </c>
      <c r="D31" s="95"/>
      <c r="E31" s="44"/>
      <c r="F31" s="95"/>
      <c r="G31" s="95"/>
      <c r="H31" s="95"/>
      <c r="I31" s="87"/>
      <c r="J31" s="87"/>
      <c r="K31" s="87"/>
      <c r="L31" s="87"/>
      <c r="M31" s="87"/>
      <c r="N31" s="87"/>
      <c r="O31" s="87"/>
      <c r="P31" s="87"/>
      <c r="Q31" s="89">
        <f t="shared" si="108"/>
        <v>0</v>
      </c>
      <c r="R31" s="87"/>
      <c r="S31" s="87"/>
      <c r="T31" s="87"/>
      <c r="U31" s="87"/>
      <c r="V31" s="87">
        <f>'JV3 High Creek Wells 100%WI'!$B$25*5</f>
        <v>3270405.6</v>
      </c>
      <c r="W31" s="38">
        <f>V31</f>
        <v>3270405.6</v>
      </c>
      <c r="X31" s="38">
        <f>W31</f>
        <v>3270405.6</v>
      </c>
      <c r="Y31" s="87">
        <f>'JV3 High Creek Wells 100%WI'!$B$25*5</f>
        <v>3270405.6</v>
      </c>
      <c r="Z31" s="87">
        <f>'JV3 High Creek Wells 100%WI'!$B$25*5</f>
        <v>3270405.6</v>
      </c>
      <c r="AA31" s="87">
        <f>'JV3 High Creek Wells 100%WI'!$B$25*5</f>
        <v>3270405.6</v>
      </c>
      <c r="AB31" s="87">
        <f>'JV3 High Creek Wells 100%WI'!$B$25*5</f>
        <v>3270405.6</v>
      </c>
      <c r="AC31" s="87">
        <f>'JV3 High Creek Wells 100%WI'!$B$25*5</f>
        <v>3270405.6</v>
      </c>
      <c r="AD31" s="89">
        <f t="shared" si="109"/>
        <v>26163244.800000004</v>
      </c>
      <c r="AE31" s="87">
        <f t="shared" si="142"/>
        <v>3270405.6</v>
      </c>
      <c r="AF31" s="87">
        <f t="shared" ref="AF31:AP31" si="181">AE31</f>
        <v>3270405.6</v>
      </c>
      <c r="AG31" s="87">
        <f t="shared" si="181"/>
        <v>3270405.6</v>
      </c>
      <c r="AH31" s="87">
        <f t="shared" si="181"/>
        <v>3270405.6</v>
      </c>
      <c r="AI31" s="87">
        <f t="shared" si="181"/>
        <v>3270405.6</v>
      </c>
      <c r="AJ31" s="87">
        <f t="shared" si="181"/>
        <v>3270405.6</v>
      </c>
      <c r="AK31" s="87">
        <f t="shared" si="181"/>
        <v>3270405.6</v>
      </c>
      <c r="AL31" s="87">
        <f t="shared" si="181"/>
        <v>3270405.6</v>
      </c>
      <c r="AM31" s="87">
        <f t="shared" si="181"/>
        <v>3270405.6</v>
      </c>
      <c r="AN31" s="87">
        <f t="shared" si="181"/>
        <v>3270405.6</v>
      </c>
      <c r="AO31" s="87">
        <f t="shared" si="181"/>
        <v>3270405.6</v>
      </c>
      <c r="AP31" s="87">
        <f t="shared" si="181"/>
        <v>3270405.6</v>
      </c>
      <c r="AQ31" s="89">
        <f t="shared" si="112"/>
        <v>39244867.20000001</v>
      </c>
      <c r="AR31" s="87">
        <f t="shared" si="144"/>
        <v>3270405.6</v>
      </c>
      <c r="AS31" s="87">
        <f t="shared" ref="AS31:BC31" si="182">AR31</f>
        <v>3270405.6</v>
      </c>
      <c r="AT31" s="87">
        <f t="shared" si="182"/>
        <v>3270405.6</v>
      </c>
      <c r="AU31" s="87">
        <f t="shared" si="182"/>
        <v>3270405.6</v>
      </c>
      <c r="AV31" s="87">
        <f t="shared" si="182"/>
        <v>3270405.6</v>
      </c>
      <c r="AW31" s="87">
        <f t="shared" si="182"/>
        <v>3270405.6</v>
      </c>
      <c r="AX31" s="87">
        <f t="shared" si="182"/>
        <v>3270405.6</v>
      </c>
      <c r="AY31" s="87">
        <f t="shared" si="182"/>
        <v>3270405.6</v>
      </c>
      <c r="AZ31" s="87">
        <f t="shared" si="182"/>
        <v>3270405.6</v>
      </c>
      <c r="BA31" s="87">
        <f t="shared" si="182"/>
        <v>3270405.6</v>
      </c>
      <c r="BB31" s="87">
        <f t="shared" si="182"/>
        <v>3270405.6</v>
      </c>
      <c r="BC31" s="87">
        <f t="shared" si="182"/>
        <v>3270405.6</v>
      </c>
      <c r="BD31" s="89">
        <f t="shared" si="113"/>
        <v>39244867.20000001</v>
      </c>
      <c r="BE31" s="87">
        <f t="shared" si="146"/>
        <v>3270405.6</v>
      </c>
      <c r="BF31" s="87">
        <f t="shared" ref="BF31:BP31" si="183">BE31</f>
        <v>3270405.6</v>
      </c>
      <c r="BG31" s="87">
        <f t="shared" si="183"/>
        <v>3270405.6</v>
      </c>
      <c r="BH31" s="87">
        <f t="shared" si="183"/>
        <v>3270405.6</v>
      </c>
      <c r="BI31" s="87">
        <f t="shared" si="183"/>
        <v>3270405.6</v>
      </c>
      <c r="BJ31" s="87">
        <f t="shared" si="183"/>
        <v>3270405.6</v>
      </c>
      <c r="BK31" s="87">
        <f t="shared" si="183"/>
        <v>3270405.6</v>
      </c>
      <c r="BL31" s="87">
        <f t="shared" si="183"/>
        <v>3270405.6</v>
      </c>
      <c r="BM31" s="87">
        <f t="shared" si="183"/>
        <v>3270405.6</v>
      </c>
      <c r="BN31" s="87">
        <f t="shared" si="183"/>
        <v>3270405.6</v>
      </c>
      <c r="BO31" s="87">
        <f t="shared" si="183"/>
        <v>3270405.6</v>
      </c>
      <c r="BP31" s="87">
        <f t="shared" si="183"/>
        <v>3270405.6</v>
      </c>
      <c r="BQ31" s="89">
        <f t="shared" si="114"/>
        <v>39244867.20000001</v>
      </c>
      <c r="BR31" s="87">
        <f t="shared" si="148"/>
        <v>3270405.6</v>
      </c>
      <c r="BS31" s="87">
        <f t="shared" ref="BS31:CC31" si="184">BR31</f>
        <v>3270405.6</v>
      </c>
      <c r="BT31" s="87">
        <f t="shared" si="184"/>
        <v>3270405.6</v>
      </c>
      <c r="BU31" s="87">
        <f t="shared" si="184"/>
        <v>3270405.6</v>
      </c>
      <c r="BV31" s="87">
        <f t="shared" si="184"/>
        <v>3270405.6</v>
      </c>
      <c r="BW31" s="87">
        <f t="shared" si="184"/>
        <v>3270405.6</v>
      </c>
      <c r="BX31" s="87">
        <f t="shared" si="184"/>
        <v>3270405.6</v>
      </c>
      <c r="BY31" s="87">
        <f t="shared" si="184"/>
        <v>3270405.6</v>
      </c>
      <c r="BZ31" s="87">
        <f t="shared" si="184"/>
        <v>3270405.6</v>
      </c>
      <c r="CA31" s="87">
        <f t="shared" si="184"/>
        <v>3270405.6</v>
      </c>
      <c r="CB31" s="87">
        <f t="shared" si="184"/>
        <v>3270405.6</v>
      </c>
      <c r="CC31" s="87">
        <f t="shared" si="184"/>
        <v>3270405.6</v>
      </c>
      <c r="CD31" s="89">
        <f t="shared" si="116"/>
        <v>39244867.20000001</v>
      </c>
      <c r="CE31" s="87">
        <f t="shared" si="150"/>
        <v>3270405.6</v>
      </c>
      <c r="CF31" s="87">
        <f t="shared" ref="CF31:CP31" si="185">CE31</f>
        <v>3270405.6</v>
      </c>
      <c r="CG31" s="87">
        <f t="shared" si="185"/>
        <v>3270405.6</v>
      </c>
      <c r="CH31" s="87">
        <f t="shared" si="185"/>
        <v>3270405.6</v>
      </c>
      <c r="CI31" s="87">
        <f t="shared" si="185"/>
        <v>3270405.6</v>
      </c>
      <c r="CJ31" s="87">
        <f t="shared" si="185"/>
        <v>3270405.6</v>
      </c>
      <c r="CK31" s="87">
        <f t="shared" si="185"/>
        <v>3270405.6</v>
      </c>
      <c r="CL31" s="87">
        <f t="shared" si="185"/>
        <v>3270405.6</v>
      </c>
      <c r="CM31" s="87">
        <f t="shared" si="185"/>
        <v>3270405.6</v>
      </c>
      <c r="CN31" s="87">
        <f t="shared" si="185"/>
        <v>3270405.6</v>
      </c>
      <c r="CO31" s="87">
        <f t="shared" si="185"/>
        <v>3270405.6</v>
      </c>
      <c r="CP31" s="38">
        <f t="shared" si="185"/>
        <v>3270405.6</v>
      </c>
      <c r="CQ31" s="88">
        <f t="shared" si="118"/>
        <v>39244867.20000001</v>
      </c>
      <c r="CR31" s="95"/>
      <c r="CS31" s="95"/>
      <c r="CT31" s="95"/>
      <c r="CU31" s="95"/>
      <c r="CV31" s="95"/>
      <c r="CW31" s="95"/>
      <c r="CX31" s="95"/>
      <c r="CY31" s="95"/>
      <c r="CZ31" s="95"/>
      <c r="DA31" s="95"/>
      <c r="DB31" s="95"/>
      <c r="DC31" s="95"/>
      <c r="DD31" s="95"/>
      <c r="DE31" s="95"/>
      <c r="DF31" s="95"/>
      <c r="DG31" s="95"/>
      <c r="DH31" s="95"/>
      <c r="DI31" s="95"/>
      <c r="DJ31" s="95"/>
      <c r="DK31" s="95"/>
    </row>
    <row r="32" spans="1:147" ht="14.25" customHeight="1" outlineLevel="1" x14ac:dyDescent="0.4">
      <c r="A32" s="94"/>
      <c r="B32" s="95" t="s">
        <v>77</v>
      </c>
      <c r="C32" s="88">
        <f t="shared" si="107"/>
        <v>208161316.43999964</v>
      </c>
      <c r="D32" s="44"/>
      <c r="E32" s="44"/>
      <c r="F32" s="95"/>
      <c r="G32" s="95"/>
      <c r="H32" s="95"/>
      <c r="I32" s="87"/>
      <c r="J32" s="87"/>
      <c r="K32" s="87"/>
      <c r="L32" s="87"/>
      <c r="M32" s="87"/>
      <c r="N32" s="87"/>
      <c r="O32" s="87"/>
      <c r="P32" s="87"/>
      <c r="Q32" s="89">
        <f t="shared" si="108"/>
        <v>0</v>
      </c>
      <c r="R32" s="87"/>
      <c r="S32" s="87"/>
      <c r="T32" s="87"/>
      <c r="U32" s="87"/>
      <c r="V32" s="87"/>
      <c r="W32" s="87">
        <f>'JV 1B  Wells 95%WI'!$B$25*5</f>
        <v>3106885.3199999994</v>
      </c>
      <c r="X32" s="87">
        <f>W32</f>
        <v>3106885.3199999994</v>
      </c>
      <c r="Y32" s="87">
        <f t="shared" ref="Y32:Z32" si="186">X32</f>
        <v>3106885.3199999994</v>
      </c>
      <c r="Z32" s="87">
        <f t="shared" si="186"/>
        <v>3106885.3199999994</v>
      </c>
      <c r="AA32" s="87">
        <f>'JV 1B  Wells 95%WI'!$B$25*5</f>
        <v>3106885.3199999994</v>
      </c>
      <c r="AB32" s="87">
        <f>'JV 1B  Wells 95%WI'!$B$25*5</f>
        <v>3106885.3199999994</v>
      </c>
      <c r="AC32" s="87">
        <f>'JV 1B  Wells 95%WI'!$B$25*5</f>
        <v>3106885.3199999994</v>
      </c>
      <c r="AD32" s="89">
        <f t="shared" si="109"/>
        <v>21748197.239999998</v>
      </c>
      <c r="AE32" s="87">
        <f t="shared" si="142"/>
        <v>3106885.3199999994</v>
      </c>
      <c r="AF32" s="87">
        <f t="shared" ref="AF32:AP32" si="187">AE32</f>
        <v>3106885.3199999994</v>
      </c>
      <c r="AG32" s="87">
        <f t="shared" si="187"/>
        <v>3106885.3199999994</v>
      </c>
      <c r="AH32" s="87">
        <f t="shared" si="187"/>
        <v>3106885.3199999994</v>
      </c>
      <c r="AI32" s="87">
        <f t="shared" si="187"/>
        <v>3106885.3199999994</v>
      </c>
      <c r="AJ32" s="87">
        <f t="shared" si="187"/>
        <v>3106885.3199999994</v>
      </c>
      <c r="AK32" s="87">
        <f t="shared" si="187"/>
        <v>3106885.3199999994</v>
      </c>
      <c r="AL32" s="87">
        <f t="shared" si="187"/>
        <v>3106885.3199999994</v>
      </c>
      <c r="AM32" s="87">
        <f t="shared" si="187"/>
        <v>3106885.3199999994</v>
      </c>
      <c r="AN32" s="87">
        <f t="shared" si="187"/>
        <v>3106885.3199999994</v>
      </c>
      <c r="AO32" s="87">
        <f t="shared" si="187"/>
        <v>3106885.3199999994</v>
      </c>
      <c r="AP32" s="87">
        <f t="shared" si="187"/>
        <v>3106885.3199999994</v>
      </c>
      <c r="AQ32" s="89">
        <f t="shared" si="112"/>
        <v>37282623.839999996</v>
      </c>
      <c r="AR32" s="87">
        <f t="shared" si="144"/>
        <v>3106885.3199999994</v>
      </c>
      <c r="AS32" s="87">
        <f t="shared" ref="AS32:BC32" si="188">AR32</f>
        <v>3106885.3199999994</v>
      </c>
      <c r="AT32" s="87">
        <f t="shared" si="188"/>
        <v>3106885.3199999994</v>
      </c>
      <c r="AU32" s="87">
        <f t="shared" si="188"/>
        <v>3106885.3199999994</v>
      </c>
      <c r="AV32" s="87">
        <f t="shared" si="188"/>
        <v>3106885.3199999994</v>
      </c>
      <c r="AW32" s="87">
        <f t="shared" si="188"/>
        <v>3106885.3199999994</v>
      </c>
      <c r="AX32" s="87">
        <f t="shared" si="188"/>
        <v>3106885.3199999994</v>
      </c>
      <c r="AY32" s="87">
        <f t="shared" si="188"/>
        <v>3106885.3199999994</v>
      </c>
      <c r="AZ32" s="87">
        <f t="shared" si="188"/>
        <v>3106885.3199999994</v>
      </c>
      <c r="BA32" s="87">
        <f t="shared" si="188"/>
        <v>3106885.3199999994</v>
      </c>
      <c r="BB32" s="87">
        <f t="shared" si="188"/>
        <v>3106885.3199999994</v>
      </c>
      <c r="BC32" s="87">
        <f t="shared" si="188"/>
        <v>3106885.3199999994</v>
      </c>
      <c r="BD32" s="89">
        <f t="shared" si="113"/>
        <v>37282623.839999996</v>
      </c>
      <c r="BE32" s="87">
        <f t="shared" si="146"/>
        <v>3106885.3199999994</v>
      </c>
      <c r="BF32" s="87">
        <f t="shared" ref="BF32:BP32" si="189">BE32</f>
        <v>3106885.3199999994</v>
      </c>
      <c r="BG32" s="87">
        <f t="shared" si="189"/>
        <v>3106885.3199999994</v>
      </c>
      <c r="BH32" s="87">
        <f t="shared" si="189"/>
        <v>3106885.3199999994</v>
      </c>
      <c r="BI32" s="87">
        <f t="shared" si="189"/>
        <v>3106885.3199999994</v>
      </c>
      <c r="BJ32" s="87">
        <f t="shared" si="189"/>
        <v>3106885.3199999994</v>
      </c>
      <c r="BK32" s="87">
        <f t="shared" si="189"/>
        <v>3106885.3199999994</v>
      </c>
      <c r="BL32" s="87">
        <f t="shared" si="189"/>
        <v>3106885.3199999994</v>
      </c>
      <c r="BM32" s="87">
        <f t="shared" si="189"/>
        <v>3106885.3199999994</v>
      </c>
      <c r="BN32" s="87">
        <f t="shared" si="189"/>
        <v>3106885.3199999994</v>
      </c>
      <c r="BO32" s="87">
        <f t="shared" si="189"/>
        <v>3106885.3199999994</v>
      </c>
      <c r="BP32" s="87">
        <f t="shared" si="189"/>
        <v>3106885.3199999994</v>
      </c>
      <c r="BQ32" s="89">
        <f t="shared" si="114"/>
        <v>37282623.839999996</v>
      </c>
      <c r="BR32" s="87">
        <f t="shared" si="148"/>
        <v>3106885.3199999994</v>
      </c>
      <c r="BS32" s="87">
        <f t="shared" ref="BS32:CC32" si="190">BR32</f>
        <v>3106885.3199999994</v>
      </c>
      <c r="BT32" s="87">
        <f t="shared" si="190"/>
        <v>3106885.3199999994</v>
      </c>
      <c r="BU32" s="87">
        <f t="shared" si="190"/>
        <v>3106885.3199999994</v>
      </c>
      <c r="BV32" s="87">
        <f t="shared" si="190"/>
        <v>3106885.3199999994</v>
      </c>
      <c r="BW32" s="87">
        <f t="shared" si="190"/>
        <v>3106885.3199999994</v>
      </c>
      <c r="BX32" s="87">
        <f t="shared" si="190"/>
        <v>3106885.3199999994</v>
      </c>
      <c r="BY32" s="87">
        <f t="shared" si="190"/>
        <v>3106885.3199999994</v>
      </c>
      <c r="BZ32" s="87">
        <f t="shared" si="190"/>
        <v>3106885.3199999994</v>
      </c>
      <c r="CA32" s="87">
        <f t="shared" si="190"/>
        <v>3106885.3199999994</v>
      </c>
      <c r="CB32" s="87">
        <f t="shared" si="190"/>
        <v>3106885.3199999994</v>
      </c>
      <c r="CC32" s="87">
        <f t="shared" si="190"/>
        <v>3106885.3199999994</v>
      </c>
      <c r="CD32" s="89">
        <f t="shared" si="116"/>
        <v>37282623.839999996</v>
      </c>
      <c r="CE32" s="87">
        <f t="shared" si="150"/>
        <v>3106885.3199999994</v>
      </c>
      <c r="CF32" s="87">
        <f t="shared" ref="CF32:CP32" si="191">CE32</f>
        <v>3106885.3199999994</v>
      </c>
      <c r="CG32" s="87">
        <f t="shared" si="191"/>
        <v>3106885.3199999994</v>
      </c>
      <c r="CH32" s="87">
        <f t="shared" si="191"/>
        <v>3106885.3199999994</v>
      </c>
      <c r="CI32" s="87">
        <f t="shared" si="191"/>
        <v>3106885.3199999994</v>
      </c>
      <c r="CJ32" s="87">
        <f t="shared" si="191"/>
        <v>3106885.3199999994</v>
      </c>
      <c r="CK32" s="87">
        <f t="shared" si="191"/>
        <v>3106885.3199999994</v>
      </c>
      <c r="CL32" s="87">
        <f t="shared" si="191"/>
        <v>3106885.3199999994</v>
      </c>
      <c r="CM32" s="87">
        <f t="shared" si="191"/>
        <v>3106885.3199999994</v>
      </c>
      <c r="CN32" s="87">
        <f t="shared" si="191"/>
        <v>3106885.3199999994</v>
      </c>
      <c r="CO32" s="87">
        <f t="shared" si="191"/>
        <v>3106885.3199999994</v>
      </c>
      <c r="CP32" s="38">
        <f t="shared" si="191"/>
        <v>3106885.3199999994</v>
      </c>
      <c r="CQ32" s="88">
        <f t="shared" si="118"/>
        <v>37282623.839999996</v>
      </c>
      <c r="CR32" s="95"/>
      <c r="CS32" s="95"/>
      <c r="CT32" s="95"/>
      <c r="CU32" s="95"/>
      <c r="CV32" s="95"/>
      <c r="CW32" s="95"/>
      <c r="CX32" s="95"/>
      <c r="CY32" s="95"/>
      <c r="CZ32" s="95"/>
      <c r="DA32" s="95"/>
      <c r="DB32" s="95"/>
      <c r="DC32" s="95"/>
      <c r="DD32" s="95"/>
      <c r="DE32" s="95"/>
      <c r="DF32" s="95"/>
      <c r="DG32" s="95"/>
      <c r="DH32" s="95"/>
      <c r="DI32" s="95"/>
      <c r="DJ32" s="95"/>
      <c r="DK32" s="95"/>
    </row>
    <row r="33" spans="1:115" ht="14.25" customHeight="1" outlineLevel="1" x14ac:dyDescent="0.4">
      <c r="A33" s="94"/>
      <c r="B33" s="95" t="s">
        <v>78</v>
      </c>
      <c r="C33" s="88">
        <f t="shared" si="107"/>
        <v>215846769.60000038</v>
      </c>
      <c r="D33" s="95"/>
      <c r="E33" s="44"/>
      <c r="F33" s="95"/>
      <c r="G33" s="95"/>
      <c r="H33" s="95"/>
      <c r="I33" s="87"/>
      <c r="J33" s="87"/>
      <c r="K33" s="87"/>
      <c r="L33" s="87"/>
      <c r="M33" s="87"/>
      <c r="N33" s="87"/>
      <c r="O33" s="87"/>
      <c r="P33" s="87"/>
      <c r="Q33" s="89">
        <f t="shared" si="108"/>
        <v>0</v>
      </c>
      <c r="R33" s="87"/>
      <c r="S33" s="87"/>
      <c r="T33" s="87"/>
      <c r="U33" s="87"/>
      <c r="V33" s="87"/>
      <c r="W33" s="87"/>
      <c r="X33" s="87">
        <f>'JV3 High Creek Wells 100%WI'!$B$25*5</f>
        <v>3270405.6</v>
      </c>
      <c r="Y33" s="87">
        <f>'JV3 High Creek Wells 100%WI'!$B$25*5</f>
        <v>3270405.6</v>
      </c>
      <c r="Z33" s="87">
        <f>'JV3 High Creek Wells 100%WI'!$B$25*5</f>
        <v>3270405.6</v>
      </c>
      <c r="AA33" s="87">
        <f>'JV3 High Creek Wells 100%WI'!$B$25*5</f>
        <v>3270405.6</v>
      </c>
      <c r="AB33" s="87">
        <f>'JV3 High Creek Wells 100%WI'!$B$25*5</f>
        <v>3270405.6</v>
      </c>
      <c r="AC33" s="87">
        <f>'JV3 High Creek Wells 100%WI'!$B$25*5</f>
        <v>3270405.6</v>
      </c>
      <c r="AD33" s="89">
        <f t="shared" si="109"/>
        <v>19622433.600000001</v>
      </c>
      <c r="AE33" s="87">
        <f t="shared" si="142"/>
        <v>3270405.6</v>
      </c>
      <c r="AF33" s="87">
        <f t="shared" ref="AF33:AP33" si="192">AE33</f>
        <v>3270405.6</v>
      </c>
      <c r="AG33" s="87">
        <f t="shared" si="192"/>
        <v>3270405.6</v>
      </c>
      <c r="AH33" s="87">
        <f t="shared" si="192"/>
        <v>3270405.6</v>
      </c>
      <c r="AI33" s="87">
        <f t="shared" si="192"/>
        <v>3270405.6</v>
      </c>
      <c r="AJ33" s="87">
        <f t="shared" si="192"/>
        <v>3270405.6</v>
      </c>
      <c r="AK33" s="87">
        <f t="shared" si="192"/>
        <v>3270405.6</v>
      </c>
      <c r="AL33" s="87">
        <f t="shared" si="192"/>
        <v>3270405.6</v>
      </c>
      <c r="AM33" s="87">
        <f t="shared" si="192"/>
        <v>3270405.6</v>
      </c>
      <c r="AN33" s="87">
        <f t="shared" si="192"/>
        <v>3270405.6</v>
      </c>
      <c r="AO33" s="87">
        <f t="shared" si="192"/>
        <v>3270405.6</v>
      </c>
      <c r="AP33" s="87">
        <f t="shared" si="192"/>
        <v>3270405.6</v>
      </c>
      <c r="AQ33" s="89">
        <f t="shared" si="112"/>
        <v>39244867.20000001</v>
      </c>
      <c r="AR33" s="87">
        <f t="shared" si="144"/>
        <v>3270405.6</v>
      </c>
      <c r="AS33" s="87">
        <f t="shared" ref="AS33:BC33" si="193">AR33</f>
        <v>3270405.6</v>
      </c>
      <c r="AT33" s="87">
        <f t="shared" si="193"/>
        <v>3270405.6</v>
      </c>
      <c r="AU33" s="87">
        <f t="shared" si="193"/>
        <v>3270405.6</v>
      </c>
      <c r="AV33" s="87">
        <f t="shared" si="193"/>
        <v>3270405.6</v>
      </c>
      <c r="AW33" s="87">
        <f t="shared" si="193"/>
        <v>3270405.6</v>
      </c>
      <c r="AX33" s="87">
        <f t="shared" si="193"/>
        <v>3270405.6</v>
      </c>
      <c r="AY33" s="87">
        <f t="shared" si="193"/>
        <v>3270405.6</v>
      </c>
      <c r="AZ33" s="87">
        <f t="shared" si="193"/>
        <v>3270405.6</v>
      </c>
      <c r="BA33" s="87">
        <f t="shared" si="193"/>
        <v>3270405.6</v>
      </c>
      <c r="BB33" s="87">
        <f t="shared" si="193"/>
        <v>3270405.6</v>
      </c>
      <c r="BC33" s="87">
        <f t="shared" si="193"/>
        <v>3270405.6</v>
      </c>
      <c r="BD33" s="89">
        <f t="shared" si="113"/>
        <v>39244867.20000001</v>
      </c>
      <c r="BE33" s="87">
        <f t="shared" si="146"/>
        <v>3270405.6</v>
      </c>
      <c r="BF33" s="87">
        <f t="shared" ref="BF33:BP33" si="194">BE33</f>
        <v>3270405.6</v>
      </c>
      <c r="BG33" s="87">
        <f t="shared" si="194"/>
        <v>3270405.6</v>
      </c>
      <c r="BH33" s="87">
        <f t="shared" si="194"/>
        <v>3270405.6</v>
      </c>
      <c r="BI33" s="87">
        <f t="shared" si="194"/>
        <v>3270405.6</v>
      </c>
      <c r="BJ33" s="87">
        <f t="shared" si="194"/>
        <v>3270405.6</v>
      </c>
      <c r="BK33" s="87">
        <f t="shared" si="194"/>
        <v>3270405.6</v>
      </c>
      <c r="BL33" s="87">
        <f t="shared" si="194"/>
        <v>3270405.6</v>
      </c>
      <c r="BM33" s="87">
        <f t="shared" si="194"/>
        <v>3270405.6</v>
      </c>
      <c r="BN33" s="87">
        <f t="shared" si="194"/>
        <v>3270405.6</v>
      </c>
      <c r="BO33" s="87">
        <f t="shared" si="194"/>
        <v>3270405.6</v>
      </c>
      <c r="BP33" s="87">
        <f t="shared" si="194"/>
        <v>3270405.6</v>
      </c>
      <c r="BQ33" s="89">
        <f t="shared" si="114"/>
        <v>39244867.20000001</v>
      </c>
      <c r="BR33" s="87">
        <f t="shared" si="148"/>
        <v>3270405.6</v>
      </c>
      <c r="BS33" s="87">
        <f t="shared" ref="BS33:CC33" si="195">BR33</f>
        <v>3270405.6</v>
      </c>
      <c r="BT33" s="87">
        <f t="shared" si="195"/>
        <v>3270405.6</v>
      </c>
      <c r="BU33" s="87">
        <f t="shared" si="195"/>
        <v>3270405.6</v>
      </c>
      <c r="BV33" s="87">
        <f t="shared" si="195"/>
        <v>3270405.6</v>
      </c>
      <c r="BW33" s="87">
        <f t="shared" si="195"/>
        <v>3270405.6</v>
      </c>
      <c r="BX33" s="87">
        <f t="shared" si="195"/>
        <v>3270405.6</v>
      </c>
      <c r="BY33" s="87">
        <f t="shared" si="195"/>
        <v>3270405.6</v>
      </c>
      <c r="BZ33" s="87">
        <f t="shared" si="195"/>
        <v>3270405.6</v>
      </c>
      <c r="CA33" s="87">
        <f t="shared" si="195"/>
        <v>3270405.6</v>
      </c>
      <c r="CB33" s="87">
        <f t="shared" si="195"/>
        <v>3270405.6</v>
      </c>
      <c r="CC33" s="87">
        <f t="shared" si="195"/>
        <v>3270405.6</v>
      </c>
      <c r="CD33" s="89">
        <f t="shared" si="116"/>
        <v>39244867.20000001</v>
      </c>
      <c r="CE33" s="87">
        <f t="shared" si="150"/>
        <v>3270405.6</v>
      </c>
      <c r="CF33" s="87">
        <f t="shared" ref="CF33:CP33" si="196">CE33</f>
        <v>3270405.6</v>
      </c>
      <c r="CG33" s="87">
        <f t="shared" si="196"/>
        <v>3270405.6</v>
      </c>
      <c r="CH33" s="87">
        <f t="shared" si="196"/>
        <v>3270405.6</v>
      </c>
      <c r="CI33" s="87">
        <f t="shared" si="196"/>
        <v>3270405.6</v>
      </c>
      <c r="CJ33" s="87">
        <f t="shared" si="196"/>
        <v>3270405.6</v>
      </c>
      <c r="CK33" s="87">
        <f t="shared" si="196"/>
        <v>3270405.6</v>
      </c>
      <c r="CL33" s="87">
        <f t="shared" si="196"/>
        <v>3270405.6</v>
      </c>
      <c r="CM33" s="87">
        <f t="shared" si="196"/>
        <v>3270405.6</v>
      </c>
      <c r="CN33" s="87">
        <f t="shared" si="196"/>
        <v>3270405.6</v>
      </c>
      <c r="CO33" s="87">
        <f t="shared" si="196"/>
        <v>3270405.6</v>
      </c>
      <c r="CP33" s="38">
        <f t="shared" si="196"/>
        <v>3270405.6</v>
      </c>
      <c r="CQ33" s="88">
        <f t="shared" si="118"/>
        <v>39244867.20000001</v>
      </c>
      <c r="CR33" s="95"/>
      <c r="CS33" s="95"/>
      <c r="CT33" s="95"/>
      <c r="CU33" s="95"/>
      <c r="CV33" s="95"/>
      <c r="CW33" s="95"/>
      <c r="CX33" s="95"/>
      <c r="CY33" s="95"/>
      <c r="CZ33" s="95"/>
      <c r="DA33" s="95"/>
      <c r="DB33" s="95"/>
      <c r="DC33" s="95"/>
      <c r="DD33" s="95"/>
      <c r="DE33" s="95"/>
      <c r="DF33" s="95"/>
      <c r="DG33" s="95"/>
      <c r="DH33" s="95"/>
      <c r="DI33" s="95"/>
      <c r="DJ33" s="95"/>
      <c r="DK33" s="95"/>
    </row>
    <row r="34" spans="1:115" ht="14.25" customHeight="1" outlineLevel="1" x14ac:dyDescent="0.4">
      <c r="A34" s="94"/>
      <c r="B34" s="95" t="s">
        <v>79</v>
      </c>
      <c r="C34" s="88">
        <f t="shared" si="107"/>
        <v>201947545.79999965</v>
      </c>
      <c r="D34" s="44"/>
      <c r="E34" s="44"/>
      <c r="F34" s="95"/>
      <c r="G34" s="95"/>
      <c r="H34" s="95"/>
      <c r="I34" s="87"/>
      <c r="J34" s="87"/>
      <c r="K34" s="87"/>
      <c r="L34" s="87"/>
      <c r="M34" s="87"/>
      <c r="N34" s="87"/>
      <c r="O34" s="87"/>
      <c r="P34" s="87"/>
      <c r="Q34" s="89">
        <f t="shared" si="108"/>
        <v>0</v>
      </c>
      <c r="R34" s="87"/>
      <c r="S34" s="87"/>
      <c r="T34" s="87"/>
      <c r="U34" s="87"/>
      <c r="V34" s="87"/>
      <c r="W34" s="87"/>
      <c r="X34" s="87"/>
      <c r="Y34" s="87">
        <f>'JV 1B  Wells 95%WI'!$B$25*5</f>
        <v>3106885.3199999994</v>
      </c>
      <c r="Z34" s="87">
        <f>Y34</f>
        <v>3106885.3199999994</v>
      </c>
      <c r="AA34" s="87">
        <f t="shared" ref="AA34:AC34" si="197">Z34</f>
        <v>3106885.3199999994</v>
      </c>
      <c r="AB34" s="87">
        <f t="shared" si="197"/>
        <v>3106885.3199999994</v>
      </c>
      <c r="AC34" s="87">
        <f t="shared" si="197"/>
        <v>3106885.3199999994</v>
      </c>
      <c r="AD34" s="89">
        <f t="shared" si="109"/>
        <v>15534426.599999998</v>
      </c>
      <c r="AE34" s="543">
        <f>AC34</f>
        <v>3106885.3199999994</v>
      </c>
      <c r="AF34" s="87">
        <f>Y34</f>
        <v>3106885.3199999994</v>
      </c>
      <c r="AG34" s="87">
        <f t="shared" ref="AG34:AP34" si="198">AF34</f>
        <v>3106885.3199999994</v>
      </c>
      <c r="AH34" s="87">
        <f t="shared" si="198"/>
        <v>3106885.3199999994</v>
      </c>
      <c r="AI34" s="87">
        <f t="shared" si="198"/>
        <v>3106885.3199999994</v>
      </c>
      <c r="AJ34" s="87">
        <f t="shared" si="198"/>
        <v>3106885.3199999994</v>
      </c>
      <c r="AK34" s="87">
        <f t="shared" si="198"/>
        <v>3106885.3199999994</v>
      </c>
      <c r="AL34" s="87">
        <f t="shared" si="198"/>
        <v>3106885.3199999994</v>
      </c>
      <c r="AM34" s="87">
        <f t="shared" si="198"/>
        <v>3106885.3199999994</v>
      </c>
      <c r="AN34" s="87">
        <f t="shared" si="198"/>
        <v>3106885.3199999994</v>
      </c>
      <c r="AO34" s="87">
        <f t="shared" si="198"/>
        <v>3106885.3199999994</v>
      </c>
      <c r="AP34" s="87">
        <f t="shared" si="198"/>
        <v>3106885.3199999994</v>
      </c>
      <c r="AQ34" s="89">
        <f>SUM(Y34:AP34)</f>
        <v>68351477.039999992</v>
      </c>
      <c r="AR34" s="87">
        <f t="shared" si="144"/>
        <v>3106885.3199999994</v>
      </c>
      <c r="AS34" s="87">
        <f t="shared" ref="AS34:BB34" si="199">AR34</f>
        <v>3106885.3199999994</v>
      </c>
      <c r="AT34" s="87">
        <f t="shared" si="199"/>
        <v>3106885.3199999994</v>
      </c>
      <c r="AU34" s="87">
        <f t="shared" si="199"/>
        <v>3106885.3199999994</v>
      </c>
      <c r="AV34" s="87">
        <f t="shared" si="199"/>
        <v>3106885.3199999994</v>
      </c>
      <c r="AW34" s="87">
        <f t="shared" si="199"/>
        <v>3106885.3199999994</v>
      </c>
      <c r="AX34" s="87">
        <f t="shared" si="199"/>
        <v>3106885.3199999994</v>
      </c>
      <c r="AY34" s="87">
        <f t="shared" si="199"/>
        <v>3106885.3199999994</v>
      </c>
      <c r="AZ34" s="87">
        <f t="shared" si="199"/>
        <v>3106885.3199999994</v>
      </c>
      <c r="BA34" s="87">
        <f t="shared" si="199"/>
        <v>3106885.3199999994</v>
      </c>
      <c r="BB34" s="87">
        <f t="shared" si="199"/>
        <v>3106885.3199999994</v>
      </c>
      <c r="BC34" s="87">
        <f t="shared" ref="BC34:BC40" si="200">AX32</f>
        <v>3106885.3199999994</v>
      </c>
      <c r="BD34" s="89">
        <f t="shared" si="113"/>
        <v>37282623.839999996</v>
      </c>
      <c r="BE34" s="87">
        <f t="shared" si="146"/>
        <v>3106885.3199999994</v>
      </c>
      <c r="BF34" s="87">
        <f t="shared" ref="BF34:BP34" si="201">BE34</f>
        <v>3106885.3199999994</v>
      </c>
      <c r="BG34" s="87">
        <f t="shared" si="201"/>
        <v>3106885.3199999994</v>
      </c>
      <c r="BH34" s="87">
        <f t="shared" si="201"/>
        <v>3106885.3199999994</v>
      </c>
      <c r="BI34" s="87">
        <f t="shared" si="201"/>
        <v>3106885.3199999994</v>
      </c>
      <c r="BJ34" s="87">
        <f t="shared" si="201"/>
        <v>3106885.3199999994</v>
      </c>
      <c r="BK34" s="87">
        <f t="shared" si="201"/>
        <v>3106885.3199999994</v>
      </c>
      <c r="BL34" s="87">
        <f t="shared" si="201"/>
        <v>3106885.3199999994</v>
      </c>
      <c r="BM34" s="87">
        <f t="shared" si="201"/>
        <v>3106885.3199999994</v>
      </c>
      <c r="BN34" s="87">
        <f t="shared" si="201"/>
        <v>3106885.3199999994</v>
      </c>
      <c r="BO34" s="87">
        <f t="shared" si="201"/>
        <v>3106885.3199999994</v>
      </c>
      <c r="BP34" s="87">
        <f t="shared" si="201"/>
        <v>3106885.3199999994</v>
      </c>
      <c r="BQ34" s="89">
        <f t="shared" si="114"/>
        <v>37282623.839999996</v>
      </c>
      <c r="BR34" s="87">
        <f t="shared" si="148"/>
        <v>3106885.3199999994</v>
      </c>
      <c r="BS34" s="87">
        <f t="shared" ref="BS34:CC34" si="202">BR34</f>
        <v>3106885.3199999994</v>
      </c>
      <c r="BT34" s="87">
        <f t="shared" si="202"/>
        <v>3106885.3199999994</v>
      </c>
      <c r="BU34" s="87">
        <f t="shared" si="202"/>
        <v>3106885.3199999994</v>
      </c>
      <c r="BV34" s="87">
        <f t="shared" si="202"/>
        <v>3106885.3199999994</v>
      </c>
      <c r="BW34" s="87">
        <f t="shared" si="202"/>
        <v>3106885.3199999994</v>
      </c>
      <c r="BX34" s="87">
        <f t="shared" si="202"/>
        <v>3106885.3199999994</v>
      </c>
      <c r="BY34" s="87">
        <f t="shared" si="202"/>
        <v>3106885.3199999994</v>
      </c>
      <c r="BZ34" s="87">
        <f t="shared" si="202"/>
        <v>3106885.3199999994</v>
      </c>
      <c r="CA34" s="87">
        <f t="shared" si="202"/>
        <v>3106885.3199999994</v>
      </c>
      <c r="CB34" s="87">
        <f t="shared" si="202"/>
        <v>3106885.3199999994</v>
      </c>
      <c r="CC34" s="87">
        <f t="shared" si="202"/>
        <v>3106885.3199999994</v>
      </c>
      <c r="CD34" s="89">
        <f t="shared" si="116"/>
        <v>37282623.839999996</v>
      </c>
      <c r="CE34" s="87">
        <f t="shared" si="150"/>
        <v>3106885.3199999994</v>
      </c>
      <c r="CF34" s="87">
        <f t="shared" ref="CF34:CP34" si="203">CE34</f>
        <v>3106885.3199999994</v>
      </c>
      <c r="CG34" s="87">
        <f t="shared" si="203"/>
        <v>3106885.3199999994</v>
      </c>
      <c r="CH34" s="87">
        <f t="shared" si="203"/>
        <v>3106885.3199999994</v>
      </c>
      <c r="CI34" s="87">
        <f t="shared" si="203"/>
        <v>3106885.3199999994</v>
      </c>
      <c r="CJ34" s="87">
        <f t="shared" si="203"/>
        <v>3106885.3199999994</v>
      </c>
      <c r="CK34" s="87">
        <f t="shared" si="203"/>
        <v>3106885.3199999994</v>
      </c>
      <c r="CL34" s="87">
        <f t="shared" si="203"/>
        <v>3106885.3199999994</v>
      </c>
      <c r="CM34" s="87">
        <f t="shared" si="203"/>
        <v>3106885.3199999994</v>
      </c>
      <c r="CN34" s="87">
        <f t="shared" si="203"/>
        <v>3106885.3199999994</v>
      </c>
      <c r="CO34" s="87">
        <f t="shared" si="203"/>
        <v>3106885.3199999994</v>
      </c>
      <c r="CP34" s="38">
        <f t="shared" si="203"/>
        <v>3106885.3199999994</v>
      </c>
      <c r="CQ34" s="88">
        <f t="shared" si="118"/>
        <v>37282623.839999996</v>
      </c>
      <c r="CR34" s="95"/>
      <c r="CS34" s="95"/>
      <c r="CT34" s="95"/>
      <c r="CU34" s="95"/>
      <c r="CV34" s="95"/>
      <c r="CW34" s="95"/>
      <c r="CX34" s="95"/>
      <c r="CY34" s="95"/>
      <c r="CZ34" s="95"/>
      <c r="DA34" s="95"/>
      <c r="DB34" s="95"/>
      <c r="DC34" s="95"/>
      <c r="DD34" s="95"/>
      <c r="DE34" s="95"/>
      <c r="DF34" s="95"/>
      <c r="DG34" s="95"/>
      <c r="DH34" s="95"/>
      <c r="DI34" s="95"/>
      <c r="DJ34" s="95"/>
      <c r="DK34" s="95"/>
    </row>
    <row r="35" spans="1:115" ht="14.25" customHeight="1" outlineLevel="1" x14ac:dyDescent="0.4">
      <c r="A35" s="94"/>
      <c r="B35" s="95" t="s">
        <v>80</v>
      </c>
      <c r="C35" s="88">
        <f t="shared" si="107"/>
        <v>219117175.20000046</v>
      </c>
      <c r="D35" s="95"/>
      <c r="E35" s="44"/>
      <c r="F35" s="95"/>
      <c r="G35" s="95"/>
      <c r="H35" s="95"/>
      <c r="I35" s="87"/>
      <c r="J35" s="87"/>
      <c r="K35" s="87"/>
      <c r="L35" s="87"/>
      <c r="M35" s="87"/>
      <c r="N35" s="87"/>
      <c r="O35" s="87"/>
      <c r="P35" s="87"/>
      <c r="Q35" s="89">
        <f t="shared" si="108"/>
        <v>0</v>
      </c>
      <c r="R35" s="87"/>
      <c r="S35" s="87"/>
      <c r="T35" s="87"/>
      <c r="U35" s="87"/>
      <c r="V35" s="87"/>
      <c r="W35" s="87"/>
      <c r="X35" s="87"/>
      <c r="Y35" s="87"/>
      <c r="Z35" s="87">
        <f>'JV3 High Creek Wells 100%WI'!$B$25*5</f>
        <v>3270405.6</v>
      </c>
      <c r="AA35" s="87">
        <f>Z35</f>
        <v>3270405.6</v>
      </c>
      <c r="AB35" s="87">
        <f t="shared" ref="AB35:AC35" si="204">AA35</f>
        <v>3270405.6</v>
      </c>
      <c r="AC35" s="87">
        <f t="shared" si="204"/>
        <v>3270405.6</v>
      </c>
      <c r="AD35" s="89">
        <f t="shared" si="109"/>
        <v>13081622.4</v>
      </c>
      <c r="AE35" s="87">
        <f>AC35</f>
        <v>3270405.6</v>
      </c>
      <c r="AF35" s="87">
        <f t="shared" ref="AF35:AG38" si="205">AD35</f>
        <v>13081622.4</v>
      </c>
      <c r="AG35" s="87">
        <f t="shared" si="205"/>
        <v>3270405.6</v>
      </c>
      <c r="AH35" s="87">
        <f>'JV3 High Creek Wells 100%WI'!$B$25*5</f>
        <v>3270405.6</v>
      </c>
      <c r="AI35" s="87">
        <f>'JV3 High Creek Wells 100%WI'!$B$25*5</f>
        <v>3270405.6</v>
      </c>
      <c r="AJ35" s="87">
        <f>'JV3 High Creek Wells 100%WI'!$B$25*5</f>
        <v>3270405.6</v>
      </c>
      <c r="AK35" s="87">
        <f>'JV3 High Creek Wells 100%WI'!$B$25*5</f>
        <v>3270405.6</v>
      </c>
      <c r="AL35" s="87">
        <f>'JV3 High Creek Wells 100%WI'!$B$25*5</f>
        <v>3270405.6</v>
      </c>
      <c r="AM35" s="87">
        <f>'JV3 High Creek Wells 100%WI'!$B$25*5</f>
        <v>3270405.6</v>
      </c>
      <c r="AN35" s="87">
        <f>'JV3 High Creek Wells 100%WI'!$B$25*5</f>
        <v>3270405.6</v>
      </c>
      <c r="AO35" s="87">
        <f>'JV3 High Creek Wells 100%WI'!$B$25*5</f>
        <v>3270405.6</v>
      </c>
      <c r="AP35" s="87">
        <f>'JV3 High Creek Wells 100%WI'!$B$25*5</f>
        <v>3270405.6</v>
      </c>
      <c r="AQ35" s="89">
        <f t="shared" si="112"/>
        <v>49056084.000000015</v>
      </c>
      <c r="AR35" s="87">
        <f t="shared" si="144"/>
        <v>3270405.6</v>
      </c>
      <c r="AS35" s="87">
        <f t="shared" ref="AS35:BB35" si="206">AR35</f>
        <v>3270405.6</v>
      </c>
      <c r="AT35" s="87">
        <f t="shared" si="206"/>
        <v>3270405.6</v>
      </c>
      <c r="AU35" s="87">
        <f t="shared" si="206"/>
        <v>3270405.6</v>
      </c>
      <c r="AV35" s="87">
        <f t="shared" si="206"/>
        <v>3270405.6</v>
      </c>
      <c r="AW35" s="87">
        <f t="shared" si="206"/>
        <v>3270405.6</v>
      </c>
      <c r="AX35" s="87">
        <f t="shared" si="206"/>
        <v>3270405.6</v>
      </c>
      <c r="AY35" s="87">
        <f t="shared" si="206"/>
        <v>3270405.6</v>
      </c>
      <c r="AZ35" s="87">
        <f t="shared" si="206"/>
        <v>3270405.6</v>
      </c>
      <c r="BA35" s="87">
        <f t="shared" si="206"/>
        <v>3270405.6</v>
      </c>
      <c r="BB35" s="87">
        <f t="shared" si="206"/>
        <v>3270405.6</v>
      </c>
      <c r="BC35" s="87">
        <f t="shared" si="200"/>
        <v>3270405.6</v>
      </c>
      <c r="BD35" s="89">
        <f t="shared" si="113"/>
        <v>39244867.20000001</v>
      </c>
      <c r="BE35" s="87">
        <f t="shared" si="146"/>
        <v>3270405.6</v>
      </c>
      <c r="BF35" s="87">
        <f t="shared" ref="BF35:BP35" si="207">BE35</f>
        <v>3270405.6</v>
      </c>
      <c r="BG35" s="87">
        <f t="shared" si="207"/>
        <v>3270405.6</v>
      </c>
      <c r="BH35" s="87">
        <f t="shared" si="207"/>
        <v>3270405.6</v>
      </c>
      <c r="BI35" s="87">
        <f t="shared" si="207"/>
        <v>3270405.6</v>
      </c>
      <c r="BJ35" s="87">
        <f t="shared" si="207"/>
        <v>3270405.6</v>
      </c>
      <c r="BK35" s="87">
        <f t="shared" si="207"/>
        <v>3270405.6</v>
      </c>
      <c r="BL35" s="87">
        <f t="shared" si="207"/>
        <v>3270405.6</v>
      </c>
      <c r="BM35" s="87">
        <f t="shared" si="207"/>
        <v>3270405.6</v>
      </c>
      <c r="BN35" s="87">
        <f t="shared" si="207"/>
        <v>3270405.6</v>
      </c>
      <c r="BO35" s="87">
        <f t="shared" si="207"/>
        <v>3270405.6</v>
      </c>
      <c r="BP35" s="87">
        <f t="shared" si="207"/>
        <v>3270405.6</v>
      </c>
      <c r="BQ35" s="89">
        <f t="shared" si="114"/>
        <v>39244867.20000001</v>
      </c>
      <c r="BR35" s="87">
        <f t="shared" si="148"/>
        <v>3270405.6</v>
      </c>
      <c r="BS35" s="87">
        <f t="shared" ref="BS35:CC35" si="208">BR35</f>
        <v>3270405.6</v>
      </c>
      <c r="BT35" s="87">
        <f t="shared" si="208"/>
        <v>3270405.6</v>
      </c>
      <c r="BU35" s="87">
        <f t="shared" si="208"/>
        <v>3270405.6</v>
      </c>
      <c r="BV35" s="87">
        <f t="shared" si="208"/>
        <v>3270405.6</v>
      </c>
      <c r="BW35" s="87">
        <f t="shared" si="208"/>
        <v>3270405.6</v>
      </c>
      <c r="BX35" s="87">
        <f t="shared" si="208"/>
        <v>3270405.6</v>
      </c>
      <c r="BY35" s="87">
        <f t="shared" si="208"/>
        <v>3270405.6</v>
      </c>
      <c r="BZ35" s="87">
        <f t="shared" si="208"/>
        <v>3270405.6</v>
      </c>
      <c r="CA35" s="87">
        <f t="shared" si="208"/>
        <v>3270405.6</v>
      </c>
      <c r="CB35" s="87">
        <f t="shared" si="208"/>
        <v>3270405.6</v>
      </c>
      <c r="CC35" s="87">
        <f t="shared" si="208"/>
        <v>3270405.6</v>
      </c>
      <c r="CD35" s="89">
        <f t="shared" si="116"/>
        <v>39244867.20000001</v>
      </c>
      <c r="CE35" s="87">
        <f t="shared" si="150"/>
        <v>3270405.6</v>
      </c>
      <c r="CF35" s="87">
        <f t="shared" ref="CF35:CP35" si="209">CE35</f>
        <v>3270405.6</v>
      </c>
      <c r="CG35" s="87">
        <f t="shared" si="209"/>
        <v>3270405.6</v>
      </c>
      <c r="CH35" s="87">
        <f t="shared" si="209"/>
        <v>3270405.6</v>
      </c>
      <c r="CI35" s="87">
        <f t="shared" si="209"/>
        <v>3270405.6</v>
      </c>
      <c r="CJ35" s="87">
        <f t="shared" si="209"/>
        <v>3270405.6</v>
      </c>
      <c r="CK35" s="87">
        <f t="shared" si="209"/>
        <v>3270405.6</v>
      </c>
      <c r="CL35" s="87">
        <f t="shared" si="209"/>
        <v>3270405.6</v>
      </c>
      <c r="CM35" s="87">
        <f t="shared" si="209"/>
        <v>3270405.6</v>
      </c>
      <c r="CN35" s="87">
        <f t="shared" si="209"/>
        <v>3270405.6</v>
      </c>
      <c r="CO35" s="87">
        <f t="shared" si="209"/>
        <v>3270405.6</v>
      </c>
      <c r="CP35" s="38">
        <f t="shared" si="209"/>
        <v>3270405.6</v>
      </c>
      <c r="CQ35" s="88">
        <f t="shared" si="118"/>
        <v>39244867.20000001</v>
      </c>
      <c r="CR35" s="95"/>
      <c r="CS35" s="95"/>
      <c r="CT35" s="95"/>
      <c r="CU35" s="95"/>
      <c r="CV35" s="95"/>
      <c r="CW35" s="95"/>
      <c r="CX35" s="95"/>
      <c r="CY35" s="95"/>
      <c r="CZ35" s="95"/>
      <c r="DA35" s="95"/>
      <c r="DB35" s="95"/>
      <c r="DC35" s="95"/>
      <c r="DD35" s="95"/>
      <c r="DE35" s="95"/>
      <c r="DF35" s="95"/>
      <c r="DG35" s="95"/>
      <c r="DH35" s="95"/>
      <c r="DI35" s="95"/>
      <c r="DJ35" s="95"/>
      <c r="DK35" s="95"/>
    </row>
    <row r="36" spans="1:115" ht="14.25" customHeight="1" outlineLevel="1" x14ac:dyDescent="0.4">
      <c r="A36" s="94"/>
      <c r="B36" s="95" t="s">
        <v>81</v>
      </c>
      <c r="C36" s="88">
        <f t="shared" si="107"/>
        <v>201947545.79999965</v>
      </c>
      <c r="D36" s="44"/>
      <c r="E36" s="44"/>
      <c r="F36" s="95"/>
      <c r="G36" s="95"/>
      <c r="H36" s="95"/>
      <c r="I36" s="87"/>
      <c r="J36" s="87"/>
      <c r="K36" s="87"/>
      <c r="L36" s="87"/>
      <c r="M36" s="87"/>
      <c r="N36" s="87"/>
      <c r="O36" s="87"/>
      <c r="P36" s="87"/>
      <c r="Q36" s="89">
        <f t="shared" si="108"/>
        <v>0</v>
      </c>
      <c r="R36" s="87"/>
      <c r="S36" s="87"/>
      <c r="T36" s="87"/>
      <c r="U36" s="87"/>
      <c r="V36" s="87"/>
      <c r="W36" s="87"/>
      <c r="X36" s="87"/>
      <c r="Y36" s="87"/>
      <c r="Z36" s="87"/>
      <c r="AA36" s="87">
        <f>'JV 1B  Wells 95%WI'!$B$25*5</f>
        <v>3106885.3199999994</v>
      </c>
      <c r="AB36" s="87">
        <f>AA36</f>
        <v>3106885.3199999994</v>
      </c>
      <c r="AC36" s="87">
        <f t="shared" ref="AC36" si="210">AB36</f>
        <v>3106885.3199999994</v>
      </c>
      <c r="AD36" s="89">
        <f t="shared" si="109"/>
        <v>9320655.9599999972</v>
      </c>
      <c r="AE36" s="87">
        <f t="shared" ref="AE36:AE38" si="211">AC36</f>
        <v>3106885.3199999994</v>
      </c>
      <c r="AF36" s="87">
        <f t="shared" si="205"/>
        <v>9320655.9599999972</v>
      </c>
      <c r="AG36" s="87">
        <f t="shared" si="205"/>
        <v>3106885.3199999994</v>
      </c>
      <c r="AH36" s="87">
        <f t="shared" ref="AH36:AH42" si="212">AG36</f>
        <v>3106885.3199999994</v>
      </c>
      <c r="AI36" s="87">
        <f t="shared" ref="AI36:AN36" si="213">AH36</f>
        <v>3106885.3199999994</v>
      </c>
      <c r="AJ36" s="87">
        <f t="shared" si="213"/>
        <v>3106885.3199999994</v>
      </c>
      <c r="AK36" s="87">
        <f t="shared" si="213"/>
        <v>3106885.3199999994</v>
      </c>
      <c r="AL36" s="87">
        <f t="shared" si="213"/>
        <v>3106885.3199999994</v>
      </c>
      <c r="AM36" s="87">
        <f t="shared" si="213"/>
        <v>3106885.3199999994</v>
      </c>
      <c r="AN36" s="87">
        <f t="shared" si="213"/>
        <v>3106885.3199999994</v>
      </c>
      <c r="AO36" s="87">
        <f>'JV 1B  Wells 95%WI'!$B$25*5</f>
        <v>3106885.3199999994</v>
      </c>
      <c r="AP36" s="87">
        <f>'JV 1B  Wells 95%WI'!$B$25*5</f>
        <v>3106885.3199999994</v>
      </c>
      <c r="AQ36" s="89">
        <f t="shared" si="112"/>
        <v>43496394.479999997</v>
      </c>
      <c r="AR36" s="87">
        <f t="shared" si="144"/>
        <v>3106885.3199999994</v>
      </c>
      <c r="AS36" s="87">
        <f t="shared" ref="AS36:BB36" si="214">AR36</f>
        <v>3106885.3199999994</v>
      </c>
      <c r="AT36" s="87">
        <f t="shared" si="214"/>
        <v>3106885.3199999994</v>
      </c>
      <c r="AU36" s="87">
        <f t="shared" si="214"/>
        <v>3106885.3199999994</v>
      </c>
      <c r="AV36" s="87">
        <f t="shared" si="214"/>
        <v>3106885.3199999994</v>
      </c>
      <c r="AW36" s="87">
        <f t="shared" si="214"/>
        <v>3106885.3199999994</v>
      </c>
      <c r="AX36" s="87">
        <f t="shared" si="214"/>
        <v>3106885.3199999994</v>
      </c>
      <c r="AY36" s="87">
        <f t="shared" si="214"/>
        <v>3106885.3199999994</v>
      </c>
      <c r="AZ36" s="87">
        <f t="shared" si="214"/>
        <v>3106885.3199999994</v>
      </c>
      <c r="BA36" s="87">
        <f t="shared" si="214"/>
        <v>3106885.3199999994</v>
      </c>
      <c r="BB36" s="87">
        <f t="shared" si="214"/>
        <v>3106885.3199999994</v>
      </c>
      <c r="BC36" s="87">
        <f t="shared" si="200"/>
        <v>3106885.3199999994</v>
      </c>
      <c r="BD36" s="89">
        <f t="shared" si="113"/>
        <v>37282623.839999996</v>
      </c>
      <c r="BE36" s="87">
        <f t="shared" si="146"/>
        <v>3106885.3199999994</v>
      </c>
      <c r="BF36" s="87">
        <f t="shared" ref="BF36:BP36" si="215">BE36</f>
        <v>3106885.3199999994</v>
      </c>
      <c r="BG36" s="87">
        <f t="shared" si="215"/>
        <v>3106885.3199999994</v>
      </c>
      <c r="BH36" s="87">
        <f t="shared" si="215"/>
        <v>3106885.3199999994</v>
      </c>
      <c r="BI36" s="87">
        <f t="shared" si="215"/>
        <v>3106885.3199999994</v>
      </c>
      <c r="BJ36" s="87">
        <f t="shared" si="215"/>
        <v>3106885.3199999994</v>
      </c>
      <c r="BK36" s="87">
        <f t="shared" si="215"/>
        <v>3106885.3199999994</v>
      </c>
      <c r="BL36" s="87">
        <f t="shared" si="215"/>
        <v>3106885.3199999994</v>
      </c>
      <c r="BM36" s="87">
        <f t="shared" si="215"/>
        <v>3106885.3199999994</v>
      </c>
      <c r="BN36" s="87">
        <f t="shared" si="215"/>
        <v>3106885.3199999994</v>
      </c>
      <c r="BO36" s="87">
        <f t="shared" si="215"/>
        <v>3106885.3199999994</v>
      </c>
      <c r="BP36" s="87">
        <f t="shared" si="215"/>
        <v>3106885.3199999994</v>
      </c>
      <c r="BQ36" s="89">
        <f t="shared" si="114"/>
        <v>37282623.839999996</v>
      </c>
      <c r="BR36" s="87">
        <f t="shared" si="148"/>
        <v>3106885.3199999994</v>
      </c>
      <c r="BS36" s="87">
        <f t="shared" ref="BS36:CC36" si="216">BR36</f>
        <v>3106885.3199999994</v>
      </c>
      <c r="BT36" s="87">
        <f t="shared" si="216"/>
        <v>3106885.3199999994</v>
      </c>
      <c r="BU36" s="87">
        <f t="shared" si="216"/>
        <v>3106885.3199999994</v>
      </c>
      <c r="BV36" s="87">
        <f t="shared" si="216"/>
        <v>3106885.3199999994</v>
      </c>
      <c r="BW36" s="87">
        <f t="shared" si="216"/>
        <v>3106885.3199999994</v>
      </c>
      <c r="BX36" s="87">
        <f t="shared" si="216"/>
        <v>3106885.3199999994</v>
      </c>
      <c r="BY36" s="87">
        <f t="shared" si="216"/>
        <v>3106885.3199999994</v>
      </c>
      <c r="BZ36" s="87">
        <f t="shared" si="216"/>
        <v>3106885.3199999994</v>
      </c>
      <c r="CA36" s="87">
        <f t="shared" si="216"/>
        <v>3106885.3199999994</v>
      </c>
      <c r="CB36" s="87">
        <f t="shared" si="216"/>
        <v>3106885.3199999994</v>
      </c>
      <c r="CC36" s="87">
        <f t="shared" si="216"/>
        <v>3106885.3199999994</v>
      </c>
      <c r="CD36" s="89">
        <f t="shared" si="116"/>
        <v>37282623.839999996</v>
      </c>
      <c r="CE36" s="87">
        <f t="shared" si="150"/>
        <v>3106885.3199999994</v>
      </c>
      <c r="CF36" s="87">
        <f t="shared" ref="CF36:CP36" si="217">CE36</f>
        <v>3106885.3199999994</v>
      </c>
      <c r="CG36" s="87">
        <f t="shared" si="217"/>
        <v>3106885.3199999994</v>
      </c>
      <c r="CH36" s="87">
        <f t="shared" si="217"/>
        <v>3106885.3199999994</v>
      </c>
      <c r="CI36" s="87">
        <f t="shared" si="217"/>
        <v>3106885.3199999994</v>
      </c>
      <c r="CJ36" s="87">
        <f t="shared" si="217"/>
        <v>3106885.3199999994</v>
      </c>
      <c r="CK36" s="87">
        <f t="shared" si="217"/>
        <v>3106885.3199999994</v>
      </c>
      <c r="CL36" s="87">
        <f t="shared" si="217"/>
        <v>3106885.3199999994</v>
      </c>
      <c r="CM36" s="87">
        <f t="shared" si="217"/>
        <v>3106885.3199999994</v>
      </c>
      <c r="CN36" s="87">
        <f t="shared" si="217"/>
        <v>3106885.3199999994</v>
      </c>
      <c r="CO36" s="87">
        <f t="shared" si="217"/>
        <v>3106885.3199999994</v>
      </c>
      <c r="CP36" s="38">
        <f t="shared" si="217"/>
        <v>3106885.3199999994</v>
      </c>
      <c r="CQ36" s="88">
        <f t="shared" si="118"/>
        <v>37282623.839999996</v>
      </c>
      <c r="CR36" s="95"/>
      <c r="CS36" s="95"/>
      <c r="CT36" s="95"/>
      <c r="CU36" s="95"/>
      <c r="CV36" s="95"/>
      <c r="CW36" s="95"/>
      <c r="CX36" s="95"/>
      <c r="CY36" s="95"/>
      <c r="CZ36" s="95"/>
      <c r="DA36" s="95"/>
      <c r="DB36" s="95"/>
      <c r="DC36" s="95"/>
      <c r="DD36" s="95"/>
      <c r="DE36" s="95"/>
      <c r="DF36" s="95"/>
      <c r="DG36" s="95"/>
      <c r="DH36" s="95"/>
      <c r="DI36" s="95"/>
      <c r="DJ36" s="95"/>
      <c r="DK36" s="95"/>
    </row>
    <row r="37" spans="1:115" ht="14.25" customHeight="1" outlineLevel="1" x14ac:dyDescent="0.4">
      <c r="A37" s="94"/>
      <c r="B37" s="95" t="s">
        <v>82</v>
      </c>
      <c r="C37" s="88">
        <f t="shared" si="107"/>
        <v>206035552.80000031</v>
      </c>
      <c r="D37" s="95"/>
      <c r="E37" s="44"/>
      <c r="F37" s="95"/>
      <c r="G37" s="95"/>
      <c r="H37" s="95"/>
      <c r="I37" s="87"/>
      <c r="J37" s="87"/>
      <c r="K37" s="87"/>
      <c r="L37" s="87"/>
      <c r="M37" s="87"/>
      <c r="N37" s="87"/>
      <c r="O37" s="87"/>
      <c r="P37" s="87"/>
      <c r="Q37" s="89">
        <f t="shared" si="108"/>
        <v>0</v>
      </c>
      <c r="R37" s="87"/>
      <c r="S37" s="87"/>
      <c r="T37" s="87"/>
      <c r="U37" s="87"/>
      <c r="V37" s="87"/>
      <c r="W37" s="87"/>
      <c r="X37" s="87"/>
      <c r="Y37" s="87"/>
      <c r="Z37" s="87"/>
      <c r="AA37" s="87"/>
      <c r="AB37" s="87">
        <f>'JV3 High Creek Wells 100%WI'!$B$25*5</f>
        <v>3270405.6</v>
      </c>
      <c r="AC37" s="87">
        <f>'JV3 High Creek Wells 100%WI'!$B$25*5</f>
        <v>3270405.6</v>
      </c>
      <c r="AD37" s="89">
        <f t="shared" si="109"/>
        <v>6540811.2000000002</v>
      </c>
      <c r="AE37" s="87">
        <f t="shared" si="211"/>
        <v>3270405.6</v>
      </c>
      <c r="AF37" s="87">
        <f t="shared" si="205"/>
        <v>6540811.2000000002</v>
      </c>
      <c r="AG37" s="87">
        <f t="shared" si="205"/>
        <v>3270405.6</v>
      </c>
      <c r="AH37" s="87">
        <f t="shared" si="212"/>
        <v>3270405.6</v>
      </c>
      <c r="AI37" s="87">
        <f t="shared" ref="AI37:AN37" si="218">AH37</f>
        <v>3270405.6</v>
      </c>
      <c r="AJ37" s="87">
        <f t="shared" si="218"/>
        <v>3270405.6</v>
      </c>
      <c r="AK37" s="87">
        <f t="shared" si="218"/>
        <v>3270405.6</v>
      </c>
      <c r="AL37" s="87">
        <f t="shared" si="218"/>
        <v>3270405.6</v>
      </c>
      <c r="AM37" s="87">
        <f t="shared" si="218"/>
        <v>3270405.6</v>
      </c>
      <c r="AN37" s="87">
        <f t="shared" si="218"/>
        <v>3270405.6</v>
      </c>
      <c r="AO37" s="87">
        <f>'JV3 High Creek Wells 100%WI'!$B$25*5</f>
        <v>3270405.6</v>
      </c>
      <c r="AP37" s="87">
        <f>'JV3 High Creek Wells 100%WI'!$B$25*5</f>
        <v>3270405.6</v>
      </c>
      <c r="AQ37" s="89">
        <f t="shared" si="112"/>
        <v>42515272.800000012</v>
      </c>
      <c r="AR37" s="87">
        <f t="shared" si="144"/>
        <v>3270405.6</v>
      </c>
      <c r="AS37" s="87">
        <f t="shared" ref="AS37:BB37" si="219">AR37</f>
        <v>3270405.6</v>
      </c>
      <c r="AT37" s="87">
        <f t="shared" si="219"/>
        <v>3270405.6</v>
      </c>
      <c r="AU37" s="87">
        <f t="shared" si="219"/>
        <v>3270405.6</v>
      </c>
      <c r="AV37" s="87">
        <f t="shared" si="219"/>
        <v>3270405.6</v>
      </c>
      <c r="AW37" s="87">
        <f t="shared" si="219"/>
        <v>3270405.6</v>
      </c>
      <c r="AX37" s="87">
        <f t="shared" si="219"/>
        <v>3270405.6</v>
      </c>
      <c r="AY37" s="87">
        <f t="shared" si="219"/>
        <v>3270405.6</v>
      </c>
      <c r="AZ37" s="87">
        <f t="shared" si="219"/>
        <v>3270405.6</v>
      </c>
      <c r="BA37" s="87">
        <f t="shared" si="219"/>
        <v>3270405.6</v>
      </c>
      <c r="BB37" s="87">
        <f t="shared" si="219"/>
        <v>3270405.6</v>
      </c>
      <c r="BC37" s="87">
        <f t="shared" si="200"/>
        <v>3270405.6</v>
      </c>
      <c r="BD37" s="89">
        <f t="shared" si="113"/>
        <v>39244867.20000001</v>
      </c>
      <c r="BE37" s="87">
        <f t="shared" si="146"/>
        <v>3270405.6</v>
      </c>
      <c r="BF37" s="87">
        <f t="shared" ref="BF37:BP37" si="220">BE37</f>
        <v>3270405.6</v>
      </c>
      <c r="BG37" s="87">
        <f t="shared" si="220"/>
        <v>3270405.6</v>
      </c>
      <c r="BH37" s="87">
        <f t="shared" si="220"/>
        <v>3270405.6</v>
      </c>
      <c r="BI37" s="87">
        <f t="shared" si="220"/>
        <v>3270405.6</v>
      </c>
      <c r="BJ37" s="87">
        <f t="shared" si="220"/>
        <v>3270405.6</v>
      </c>
      <c r="BK37" s="87">
        <f t="shared" si="220"/>
        <v>3270405.6</v>
      </c>
      <c r="BL37" s="87">
        <f t="shared" si="220"/>
        <v>3270405.6</v>
      </c>
      <c r="BM37" s="87">
        <f t="shared" si="220"/>
        <v>3270405.6</v>
      </c>
      <c r="BN37" s="87">
        <f t="shared" si="220"/>
        <v>3270405.6</v>
      </c>
      <c r="BO37" s="87">
        <f t="shared" si="220"/>
        <v>3270405.6</v>
      </c>
      <c r="BP37" s="87">
        <f t="shared" si="220"/>
        <v>3270405.6</v>
      </c>
      <c r="BQ37" s="89">
        <f t="shared" si="114"/>
        <v>39244867.20000001</v>
      </c>
      <c r="BR37" s="87">
        <f t="shared" si="148"/>
        <v>3270405.6</v>
      </c>
      <c r="BS37" s="87">
        <f t="shared" ref="BS37:CC37" si="221">BR37</f>
        <v>3270405.6</v>
      </c>
      <c r="BT37" s="87">
        <f t="shared" si="221"/>
        <v>3270405.6</v>
      </c>
      <c r="BU37" s="87">
        <f t="shared" si="221"/>
        <v>3270405.6</v>
      </c>
      <c r="BV37" s="87">
        <f t="shared" si="221"/>
        <v>3270405.6</v>
      </c>
      <c r="BW37" s="87">
        <f t="shared" si="221"/>
        <v>3270405.6</v>
      </c>
      <c r="BX37" s="87">
        <f t="shared" si="221"/>
        <v>3270405.6</v>
      </c>
      <c r="BY37" s="87">
        <f t="shared" si="221"/>
        <v>3270405.6</v>
      </c>
      <c r="BZ37" s="87">
        <f t="shared" si="221"/>
        <v>3270405.6</v>
      </c>
      <c r="CA37" s="87">
        <f t="shared" si="221"/>
        <v>3270405.6</v>
      </c>
      <c r="CB37" s="87">
        <f t="shared" si="221"/>
        <v>3270405.6</v>
      </c>
      <c r="CC37" s="87">
        <f t="shared" si="221"/>
        <v>3270405.6</v>
      </c>
      <c r="CD37" s="89">
        <f t="shared" si="116"/>
        <v>39244867.20000001</v>
      </c>
      <c r="CE37" s="87">
        <f t="shared" si="150"/>
        <v>3270405.6</v>
      </c>
      <c r="CF37" s="87">
        <f t="shared" ref="CF37:CP37" si="222">CE37</f>
        <v>3270405.6</v>
      </c>
      <c r="CG37" s="87">
        <f t="shared" si="222"/>
        <v>3270405.6</v>
      </c>
      <c r="CH37" s="87">
        <f t="shared" si="222"/>
        <v>3270405.6</v>
      </c>
      <c r="CI37" s="87">
        <f t="shared" si="222"/>
        <v>3270405.6</v>
      </c>
      <c r="CJ37" s="87">
        <f t="shared" si="222"/>
        <v>3270405.6</v>
      </c>
      <c r="CK37" s="87">
        <f t="shared" si="222"/>
        <v>3270405.6</v>
      </c>
      <c r="CL37" s="87">
        <f t="shared" si="222"/>
        <v>3270405.6</v>
      </c>
      <c r="CM37" s="87">
        <f t="shared" si="222"/>
        <v>3270405.6</v>
      </c>
      <c r="CN37" s="87">
        <f t="shared" si="222"/>
        <v>3270405.6</v>
      </c>
      <c r="CO37" s="87">
        <f t="shared" si="222"/>
        <v>3270405.6</v>
      </c>
      <c r="CP37" s="38">
        <f t="shared" si="222"/>
        <v>3270405.6</v>
      </c>
      <c r="CQ37" s="88">
        <f t="shared" si="118"/>
        <v>39244867.20000001</v>
      </c>
      <c r="CR37" s="95"/>
      <c r="CS37" s="95"/>
      <c r="CT37" s="95"/>
      <c r="CU37" s="95"/>
      <c r="CV37" s="95"/>
      <c r="CW37" s="95"/>
      <c r="CX37" s="95"/>
      <c r="CY37" s="95"/>
      <c r="CZ37" s="95"/>
      <c r="DA37" s="95"/>
      <c r="DB37" s="95"/>
      <c r="DC37" s="95"/>
      <c r="DD37" s="95"/>
      <c r="DE37" s="95"/>
      <c r="DF37" s="95"/>
      <c r="DG37" s="95"/>
      <c r="DH37" s="95"/>
      <c r="DI37" s="95"/>
      <c r="DJ37" s="95"/>
      <c r="DK37" s="95"/>
    </row>
    <row r="38" spans="1:115" ht="14.25" customHeight="1" outlineLevel="1" x14ac:dyDescent="0.4">
      <c r="A38" s="94"/>
      <c r="B38" s="95" t="s">
        <v>83</v>
      </c>
      <c r="C38" s="88">
        <f t="shared" si="107"/>
        <v>189520004.51999965</v>
      </c>
      <c r="D38" s="44"/>
      <c r="E38" s="44"/>
      <c r="F38" s="95"/>
      <c r="G38" s="95"/>
      <c r="H38" s="95"/>
      <c r="I38" s="87"/>
      <c r="J38" s="87"/>
      <c r="K38" s="87"/>
      <c r="L38" s="87"/>
      <c r="M38" s="87"/>
      <c r="N38" s="87"/>
      <c r="O38" s="87"/>
      <c r="P38" s="87"/>
      <c r="Q38" s="89">
        <f t="shared" si="108"/>
        <v>0</v>
      </c>
      <c r="R38" s="87"/>
      <c r="S38" s="87"/>
      <c r="T38" s="87"/>
      <c r="U38" s="87"/>
      <c r="V38" s="87"/>
      <c r="W38" s="87"/>
      <c r="X38" s="87"/>
      <c r="Y38" s="87"/>
      <c r="Z38" s="87"/>
      <c r="AA38" s="87"/>
      <c r="AB38" s="87"/>
      <c r="AC38" s="87">
        <f>'JV 1B  Wells 95%WI'!$B$25*5</f>
        <v>3106885.3199999994</v>
      </c>
      <c r="AD38" s="89">
        <f t="shared" si="109"/>
        <v>3106885.3199999994</v>
      </c>
      <c r="AE38" s="87">
        <f t="shared" si="211"/>
        <v>3106885.3199999994</v>
      </c>
      <c r="AF38" s="87">
        <f t="shared" si="205"/>
        <v>3106885.3199999994</v>
      </c>
      <c r="AG38" s="87">
        <f t="shared" si="205"/>
        <v>3106885.3199999994</v>
      </c>
      <c r="AH38" s="87">
        <f t="shared" si="212"/>
        <v>3106885.3199999994</v>
      </c>
      <c r="AI38" s="87">
        <f t="shared" ref="AI38:AN42" si="223">AH38</f>
        <v>3106885.3199999994</v>
      </c>
      <c r="AJ38" s="87">
        <f t="shared" si="223"/>
        <v>3106885.3199999994</v>
      </c>
      <c r="AK38" s="87">
        <f t="shared" si="223"/>
        <v>3106885.3199999994</v>
      </c>
      <c r="AL38" s="87">
        <f t="shared" si="223"/>
        <v>3106885.3199999994</v>
      </c>
      <c r="AM38" s="87">
        <f t="shared" si="223"/>
        <v>3106885.3199999994</v>
      </c>
      <c r="AN38" s="87">
        <f t="shared" si="223"/>
        <v>3106885.3199999994</v>
      </c>
      <c r="AO38" s="87">
        <f>'JV 1B  Wells 95%WI'!$B$25*5</f>
        <v>3106885.3199999994</v>
      </c>
      <c r="AP38" s="87">
        <f>'JV 1B  Wells 95%WI'!$B$25*5</f>
        <v>3106885.3199999994</v>
      </c>
      <c r="AQ38" s="89">
        <f t="shared" si="112"/>
        <v>37282623.839999996</v>
      </c>
      <c r="AR38" s="87">
        <f t="shared" si="144"/>
        <v>3106885.3199999994</v>
      </c>
      <c r="AS38" s="87">
        <f t="shared" ref="AS38:BB38" si="224">AR38</f>
        <v>3106885.3199999994</v>
      </c>
      <c r="AT38" s="87">
        <f t="shared" si="224"/>
        <v>3106885.3199999994</v>
      </c>
      <c r="AU38" s="87">
        <f t="shared" si="224"/>
        <v>3106885.3199999994</v>
      </c>
      <c r="AV38" s="87">
        <f t="shared" si="224"/>
        <v>3106885.3199999994</v>
      </c>
      <c r="AW38" s="87">
        <f t="shared" si="224"/>
        <v>3106885.3199999994</v>
      </c>
      <c r="AX38" s="87">
        <f t="shared" si="224"/>
        <v>3106885.3199999994</v>
      </c>
      <c r="AY38" s="87">
        <f t="shared" si="224"/>
        <v>3106885.3199999994</v>
      </c>
      <c r="AZ38" s="87">
        <f t="shared" si="224"/>
        <v>3106885.3199999994</v>
      </c>
      <c r="BA38" s="87">
        <f t="shared" si="224"/>
        <v>3106885.3199999994</v>
      </c>
      <c r="BB38" s="87">
        <f t="shared" si="224"/>
        <v>3106885.3199999994</v>
      </c>
      <c r="BC38" s="87">
        <f t="shared" si="200"/>
        <v>3106885.3199999994</v>
      </c>
      <c r="BD38" s="89">
        <f t="shared" si="113"/>
        <v>37282623.839999996</v>
      </c>
      <c r="BE38" s="87">
        <f t="shared" si="146"/>
        <v>3106885.3199999994</v>
      </c>
      <c r="BF38" s="87">
        <f t="shared" ref="BF38:BP38" si="225">BE38</f>
        <v>3106885.3199999994</v>
      </c>
      <c r="BG38" s="87">
        <f t="shared" si="225"/>
        <v>3106885.3199999994</v>
      </c>
      <c r="BH38" s="87">
        <f t="shared" si="225"/>
        <v>3106885.3199999994</v>
      </c>
      <c r="BI38" s="87">
        <f t="shared" si="225"/>
        <v>3106885.3199999994</v>
      </c>
      <c r="BJ38" s="87">
        <f t="shared" si="225"/>
        <v>3106885.3199999994</v>
      </c>
      <c r="BK38" s="87">
        <f t="shared" si="225"/>
        <v>3106885.3199999994</v>
      </c>
      <c r="BL38" s="87">
        <f t="shared" si="225"/>
        <v>3106885.3199999994</v>
      </c>
      <c r="BM38" s="87">
        <f t="shared" si="225"/>
        <v>3106885.3199999994</v>
      </c>
      <c r="BN38" s="87">
        <f t="shared" si="225"/>
        <v>3106885.3199999994</v>
      </c>
      <c r="BO38" s="87">
        <f t="shared" si="225"/>
        <v>3106885.3199999994</v>
      </c>
      <c r="BP38" s="87">
        <f t="shared" si="225"/>
        <v>3106885.3199999994</v>
      </c>
      <c r="BQ38" s="89">
        <f t="shared" si="114"/>
        <v>37282623.839999996</v>
      </c>
      <c r="BR38" s="87">
        <f t="shared" si="148"/>
        <v>3106885.3199999994</v>
      </c>
      <c r="BS38" s="87">
        <f t="shared" ref="BS38:CC38" si="226">BR38</f>
        <v>3106885.3199999994</v>
      </c>
      <c r="BT38" s="87">
        <f t="shared" si="226"/>
        <v>3106885.3199999994</v>
      </c>
      <c r="BU38" s="87">
        <f t="shared" si="226"/>
        <v>3106885.3199999994</v>
      </c>
      <c r="BV38" s="87">
        <f t="shared" si="226"/>
        <v>3106885.3199999994</v>
      </c>
      <c r="BW38" s="87">
        <f t="shared" si="226"/>
        <v>3106885.3199999994</v>
      </c>
      <c r="BX38" s="87">
        <f t="shared" si="226"/>
        <v>3106885.3199999994</v>
      </c>
      <c r="BY38" s="87">
        <f t="shared" si="226"/>
        <v>3106885.3199999994</v>
      </c>
      <c r="BZ38" s="87">
        <f t="shared" si="226"/>
        <v>3106885.3199999994</v>
      </c>
      <c r="CA38" s="87">
        <f t="shared" si="226"/>
        <v>3106885.3199999994</v>
      </c>
      <c r="CB38" s="87">
        <f t="shared" si="226"/>
        <v>3106885.3199999994</v>
      </c>
      <c r="CC38" s="87">
        <f t="shared" si="226"/>
        <v>3106885.3199999994</v>
      </c>
      <c r="CD38" s="89">
        <f t="shared" si="116"/>
        <v>37282623.839999996</v>
      </c>
      <c r="CE38" s="87">
        <f t="shared" si="150"/>
        <v>3106885.3199999994</v>
      </c>
      <c r="CF38" s="87">
        <f t="shared" ref="CF38:CP38" si="227">CE38</f>
        <v>3106885.3199999994</v>
      </c>
      <c r="CG38" s="87">
        <f t="shared" si="227"/>
        <v>3106885.3199999994</v>
      </c>
      <c r="CH38" s="87">
        <f t="shared" si="227"/>
        <v>3106885.3199999994</v>
      </c>
      <c r="CI38" s="87">
        <f t="shared" si="227"/>
        <v>3106885.3199999994</v>
      </c>
      <c r="CJ38" s="87">
        <f t="shared" si="227"/>
        <v>3106885.3199999994</v>
      </c>
      <c r="CK38" s="87">
        <f t="shared" si="227"/>
        <v>3106885.3199999994</v>
      </c>
      <c r="CL38" s="87">
        <f t="shared" si="227"/>
        <v>3106885.3199999994</v>
      </c>
      <c r="CM38" s="87">
        <f t="shared" si="227"/>
        <v>3106885.3199999994</v>
      </c>
      <c r="CN38" s="87">
        <f t="shared" si="227"/>
        <v>3106885.3199999994</v>
      </c>
      <c r="CO38" s="87">
        <f t="shared" si="227"/>
        <v>3106885.3199999994</v>
      </c>
      <c r="CP38" s="38">
        <f t="shared" si="227"/>
        <v>3106885.3199999994</v>
      </c>
      <c r="CQ38" s="88">
        <f t="shared" si="118"/>
        <v>37282623.839999996</v>
      </c>
      <c r="CR38" s="95"/>
      <c r="CS38" s="95"/>
      <c r="CT38" s="95"/>
      <c r="CU38" s="95"/>
      <c r="CV38" s="95"/>
      <c r="CW38" s="95"/>
      <c r="CX38" s="95"/>
      <c r="CY38" s="95"/>
      <c r="CZ38" s="95"/>
      <c r="DA38" s="95"/>
      <c r="DB38" s="95"/>
      <c r="DC38" s="95"/>
      <c r="DD38" s="95"/>
      <c r="DE38" s="95"/>
      <c r="DF38" s="95"/>
      <c r="DG38" s="95"/>
      <c r="DH38" s="95"/>
      <c r="DI38" s="95"/>
      <c r="DJ38" s="95"/>
      <c r="DK38" s="95"/>
    </row>
    <row r="39" spans="1:115" ht="14.25" customHeight="1" outlineLevel="1" x14ac:dyDescent="0.4">
      <c r="A39" s="94"/>
      <c r="B39" s="95" t="s">
        <v>84</v>
      </c>
      <c r="C39" s="88">
        <f t="shared" si="107"/>
        <v>196224336.00000012</v>
      </c>
      <c r="D39" s="95"/>
      <c r="E39" s="44"/>
      <c r="F39" s="95"/>
      <c r="G39" s="95"/>
      <c r="H39" s="95"/>
      <c r="I39" s="87"/>
      <c r="J39" s="87"/>
      <c r="K39" s="87"/>
      <c r="L39" s="87"/>
      <c r="M39" s="87"/>
      <c r="N39" s="87"/>
      <c r="O39" s="87"/>
      <c r="P39" s="87"/>
      <c r="Q39" s="89">
        <f t="shared" si="108"/>
        <v>0</v>
      </c>
      <c r="R39" s="87"/>
      <c r="S39" s="87"/>
      <c r="T39" s="87"/>
      <c r="U39" s="87"/>
      <c r="V39" s="87"/>
      <c r="W39" s="87"/>
      <c r="X39" s="87"/>
      <c r="Y39" s="87"/>
      <c r="Z39" s="87"/>
      <c r="AA39" s="87"/>
      <c r="AB39" s="87"/>
      <c r="AC39" s="87"/>
      <c r="AD39" s="89">
        <f t="shared" ref="AD39:AD45" si="228">SUM(R39:AC39)</f>
        <v>0</v>
      </c>
      <c r="AE39" s="87">
        <f>'JV3 High Creek Wells 100%WI'!$B$25*5</f>
        <v>3270405.6</v>
      </c>
      <c r="AF39" s="87">
        <f>'JV3 High Creek Wells 100%WI'!$B$25*5</f>
        <v>3270405.6</v>
      </c>
      <c r="AG39" s="87">
        <f>AF39</f>
        <v>3270405.6</v>
      </c>
      <c r="AH39" s="87">
        <f t="shared" si="212"/>
        <v>3270405.6</v>
      </c>
      <c r="AI39" s="87">
        <f t="shared" si="223"/>
        <v>3270405.6</v>
      </c>
      <c r="AJ39" s="87">
        <f t="shared" si="223"/>
        <v>3270405.6</v>
      </c>
      <c r="AK39" s="87">
        <f t="shared" si="223"/>
        <v>3270405.6</v>
      </c>
      <c r="AL39" s="87">
        <f t="shared" si="223"/>
        <v>3270405.6</v>
      </c>
      <c r="AM39" s="87">
        <f t="shared" si="223"/>
        <v>3270405.6</v>
      </c>
      <c r="AN39" s="87">
        <f t="shared" si="223"/>
        <v>3270405.6</v>
      </c>
      <c r="AO39" s="87">
        <f>'JV3 High Creek Wells 100%WI'!$B$25*5</f>
        <v>3270405.6</v>
      </c>
      <c r="AP39" s="87">
        <f>'JV3 High Creek Wells 100%WI'!$B$25*5</f>
        <v>3270405.6</v>
      </c>
      <c r="AQ39" s="89">
        <f t="shared" si="112"/>
        <v>39244867.20000001</v>
      </c>
      <c r="AR39" s="87">
        <f t="shared" si="144"/>
        <v>3270405.6</v>
      </c>
      <c r="AS39" s="87">
        <f t="shared" ref="AS39:BB39" si="229">AR39</f>
        <v>3270405.6</v>
      </c>
      <c r="AT39" s="87">
        <f t="shared" si="229"/>
        <v>3270405.6</v>
      </c>
      <c r="AU39" s="87">
        <f t="shared" si="229"/>
        <v>3270405.6</v>
      </c>
      <c r="AV39" s="87">
        <f t="shared" si="229"/>
        <v>3270405.6</v>
      </c>
      <c r="AW39" s="87">
        <f t="shared" si="229"/>
        <v>3270405.6</v>
      </c>
      <c r="AX39" s="87">
        <f t="shared" si="229"/>
        <v>3270405.6</v>
      </c>
      <c r="AY39" s="87">
        <f t="shared" si="229"/>
        <v>3270405.6</v>
      </c>
      <c r="AZ39" s="87">
        <f t="shared" si="229"/>
        <v>3270405.6</v>
      </c>
      <c r="BA39" s="87">
        <f t="shared" si="229"/>
        <v>3270405.6</v>
      </c>
      <c r="BB39" s="87">
        <f t="shared" si="229"/>
        <v>3270405.6</v>
      </c>
      <c r="BC39" s="87">
        <f t="shared" si="200"/>
        <v>3270405.6</v>
      </c>
      <c r="BD39" s="89">
        <f t="shared" si="113"/>
        <v>39244867.20000001</v>
      </c>
      <c r="BE39" s="87">
        <f t="shared" si="146"/>
        <v>3270405.6</v>
      </c>
      <c r="BF39" s="87">
        <f t="shared" ref="BF39:BP39" si="230">BE39</f>
        <v>3270405.6</v>
      </c>
      <c r="BG39" s="87">
        <f t="shared" si="230"/>
        <v>3270405.6</v>
      </c>
      <c r="BH39" s="87">
        <f t="shared" si="230"/>
        <v>3270405.6</v>
      </c>
      <c r="BI39" s="87">
        <f t="shared" si="230"/>
        <v>3270405.6</v>
      </c>
      <c r="BJ39" s="87">
        <f t="shared" si="230"/>
        <v>3270405.6</v>
      </c>
      <c r="BK39" s="87">
        <f t="shared" si="230"/>
        <v>3270405.6</v>
      </c>
      <c r="BL39" s="87">
        <f t="shared" si="230"/>
        <v>3270405.6</v>
      </c>
      <c r="BM39" s="87">
        <f t="shared" si="230"/>
        <v>3270405.6</v>
      </c>
      <c r="BN39" s="87">
        <f t="shared" si="230"/>
        <v>3270405.6</v>
      </c>
      <c r="BO39" s="87">
        <f t="shared" si="230"/>
        <v>3270405.6</v>
      </c>
      <c r="BP39" s="87">
        <f t="shared" si="230"/>
        <v>3270405.6</v>
      </c>
      <c r="BQ39" s="89">
        <f t="shared" si="114"/>
        <v>39244867.20000001</v>
      </c>
      <c r="BR39" s="87">
        <f t="shared" si="148"/>
        <v>3270405.6</v>
      </c>
      <c r="BS39" s="87">
        <f t="shared" ref="BS39:CC39" si="231">BR39</f>
        <v>3270405.6</v>
      </c>
      <c r="BT39" s="87">
        <f t="shared" si="231"/>
        <v>3270405.6</v>
      </c>
      <c r="BU39" s="87">
        <f t="shared" si="231"/>
        <v>3270405.6</v>
      </c>
      <c r="BV39" s="87">
        <f t="shared" si="231"/>
        <v>3270405.6</v>
      </c>
      <c r="BW39" s="87">
        <f t="shared" si="231"/>
        <v>3270405.6</v>
      </c>
      <c r="BX39" s="87">
        <f t="shared" si="231"/>
        <v>3270405.6</v>
      </c>
      <c r="BY39" s="87">
        <f t="shared" si="231"/>
        <v>3270405.6</v>
      </c>
      <c r="BZ39" s="87">
        <f t="shared" si="231"/>
        <v>3270405.6</v>
      </c>
      <c r="CA39" s="87">
        <f t="shared" si="231"/>
        <v>3270405.6</v>
      </c>
      <c r="CB39" s="87">
        <f t="shared" si="231"/>
        <v>3270405.6</v>
      </c>
      <c r="CC39" s="87">
        <f t="shared" si="231"/>
        <v>3270405.6</v>
      </c>
      <c r="CD39" s="89">
        <f t="shared" si="116"/>
        <v>39244867.20000001</v>
      </c>
      <c r="CE39" s="87">
        <f t="shared" si="150"/>
        <v>3270405.6</v>
      </c>
      <c r="CF39" s="87">
        <f t="shared" ref="CF39:CP39" si="232">CE39</f>
        <v>3270405.6</v>
      </c>
      <c r="CG39" s="87">
        <f t="shared" si="232"/>
        <v>3270405.6</v>
      </c>
      <c r="CH39" s="87">
        <f t="shared" si="232"/>
        <v>3270405.6</v>
      </c>
      <c r="CI39" s="87">
        <f t="shared" si="232"/>
        <v>3270405.6</v>
      </c>
      <c r="CJ39" s="87">
        <f t="shared" si="232"/>
        <v>3270405.6</v>
      </c>
      <c r="CK39" s="87">
        <f t="shared" si="232"/>
        <v>3270405.6</v>
      </c>
      <c r="CL39" s="87">
        <f t="shared" si="232"/>
        <v>3270405.6</v>
      </c>
      <c r="CM39" s="87">
        <f t="shared" si="232"/>
        <v>3270405.6</v>
      </c>
      <c r="CN39" s="87">
        <f t="shared" si="232"/>
        <v>3270405.6</v>
      </c>
      <c r="CO39" s="87">
        <f t="shared" si="232"/>
        <v>3270405.6</v>
      </c>
      <c r="CP39" s="38">
        <f t="shared" si="232"/>
        <v>3270405.6</v>
      </c>
      <c r="CQ39" s="88">
        <f t="shared" si="118"/>
        <v>39244867.20000001</v>
      </c>
      <c r="CR39" s="95"/>
      <c r="CS39" s="95"/>
      <c r="CT39" s="95"/>
      <c r="CU39" s="95"/>
      <c r="CV39" s="95"/>
      <c r="CW39" s="95"/>
      <c r="CX39" s="95"/>
      <c r="CY39" s="95"/>
      <c r="CZ39" s="95"/>
      <c r="DA39" s="95"/>
      <c r="DB39" s="95"/>
      <c r="DC39" s="95"/>
      <c r="DD39" s="95"/>
      <c r="DE39" s="95"/>
      <c r="DF39" s="95"/>
      <c r="DG39" s="95"/>
      <c r="DH39" s="95"/>
      <c r="DI39" s="95"/>
      <c r="DJ39" s="95"/>
      <c r="DK39" s="95"/>
    </row>
    <row r="40" spans="1:115" ht="15.75" customHeight="1" outlineLevel="1" x14ac:dyDescent="0.4">
      <c r="A40" s="94"/>
      <c r="B40" s="95" t="s">
        <v>85</v>
      </c>
      <c r="C40" s="88">
        <f t="shared" si="107"/>
        <v>183306233.87999967</v>
      </c>
      <c r="D40" s="44"/>
      <c r="E40" s="44"/>
      <c r="F40" s="95"/>
      <c r="G40" s="95"/>
      <c r="H40" s="95"/>
      <c r="I40" s="87"/>
      <c r="J40" s="87"/>
      <c r="K40" s="87"/>
      <c r="L40" s="87"/>
      <c r="M40" s="87"/>
      <c r="N40" s="87"/>
      <c r="O40" s="87"/>
      <c r="P40" s="87"/>
      <c r="Q40" s="89">
        <f t="shared" si="108"/>
        <v>0</v>
      </c>
      <c r="R40" s="87"/>
      <c r="S40" s="87"/>
      <c r="T40" s="87"/>
      <c r="U40" s="87"/>
      <c r="V40" s="87"/>
      <c r="W40" s="87"/>
      <c r="X40" s="87"/>
      <c r="Y40" s="87"/>
      <c r="Z40" s="87"/>
      <c r="AA40" s="87"/>
      <c r="AB40" s="87"/>
      <c r="AC40" s="87"/>
      <c r="AD40" s="89">
        <f t="shared" si="228"/>
        <v>0</v>
      </c>
      <c r="AE40" s="87"/>
      <c r="AF40" s="87">
        <f>'JV 1B  Wells 95%WI'!$B$25*5</f>
        <v>3106885.3199999994</v>
      </c>
      <c r="AG40" s="87">
        <f>AF40</f>
        <v>3106885.3199999994</v>
      </c>
      <c r="AH40" s="87">
        <f t="shared" si="212"/>
        <v>3106885.3199999994</v>
      </c>
      <c r="AI40" s="87">
        <f t="shared" si="223"/>
        <v>3106885.3199999994</v>
      </c>
      <c r="AJ40" s="87">
        <f t="shared" si="223"/>
        <v>3106885.3199999994</v>
      </c>
      <c r="AK40" s="87">
        <f t="shared" si="223"/>
        <v>3106885.3199999994</v>
      </c>
      <c r="AL40" s="87">
        <f t="shared" si="223"/>
        <v>3106885.3199999994</v>
      </c>
      <c r="AM40" s="87">
        <f t="shared" si="223"/>
        <v>3106885.3199999994</v>
      </c>
      <c r="AN40" s="87">
        <f t="shared" si="223"/>
        <v>3106885.3199999994</v>
      </c>
      <c r="AO40" s="87">
        <f t="shared" ref="AO40:AP40" si="233">AN40</f>
        <v>3106885.3199999994</v>
      </c>
      <c r="AP40" s="87">
        <f t="shared" si="233"/>
        <v>3106885.3199999994</v>
      </c>
      <c r="AQ40" s="89">
        <f t="shared" si="112"/>
        <v>34175738.519999996</v>
      </c>
      <c r="AR40" s="87">
        <f>'JV 1B  Wells 95%WI'!$B$25*5</f>
        <v>3106885.3199999994</v>
      </c>
      <c r="AS40" s="87">
        <f t="shared" ref="AS40:BB45" si="234">AR40</f>
        <v>3106885.3199999994</v>
      </c>
      <c r="AT40" s="87">
        <f t="shared" si="234"/>
        <v>3106885.3199999994</v>
      </c>
      <c r="AU40" s="87">
        <f t="shared" si="234"/>
        <v>3106885.3199999994</v>
      </c>
      <c r="AV40" s="87">
        <f t="shared" si="234"/>
        <v>3106885.3199999994</v>
      </c>
      <c r="AW40" s="87">
        <f t="shared" si="234"/>
        <v>3106885.3199999994</v>
      </c>
      <c r="AX40" s="87">
        <f t="shared" si="234"/>
        <v>3106885.3199999994</v>
      </c>
      <c r="AY40" s="87">
        <f t="shared" si="234"/>
        <v>3106885.3199999994</v>
      </c>
      <c r="AZ40" s="87">
        <f t="shared" si="234"/>
        <v>3106885.3199999994</v>
      </c>
      <c r="BA40" s="87">
        <f t="shared" si="234"/>
        <v>3106885.3199999994</v>
      </c>
      <c r="BB40" s="87">
        <f t="shared" si="234"/>
        <v>3106885.3199999994</v>
      </c>
      <c r="BC40" s="87">
        <f t="shared" si="200"/>
        <v>3106885.3199999994</v>
      </c>
      <c r="BD40" s="89">
        <f t="shared" si="113"/>
        <v>37282623.839999996</v>
      </c>
      <c r="BE40" s="87">
        <f>AZ38</f>
        <v>3106885.3199999994</v>
      </c>
      <c r="BF40" s="87">
        <f t="shared" ref="BF40:BP40" si="235">BE40</f>
        <v>3106885.3199999994</v>
      </c>
      <c r="BG40" s="87">
        <f t="shared" si="235"/>
        <v>3106885.3199999994</v>
      </c>
      <c r="BH40" s="87">
        <f t="shared" si="235"/>
        <v>3106885.3199999994</v>
      </c>
      <c r="BI40" s="87">
        <f t="shared" si="235"/>
        <v>3106885.3199999994</v>
      </c>
      <c r="BJ40" s="87">
        <f t="shared" si="235"/>
        <v>3106885.3199999994</v>
      </c>
      <c r="BK40" s="87">
        <f t="shared" si="235"/>
        <v>3106885.3199999994</v>
      </c>
      <c r="BL40" s="87">
        <f t="shared" si="235"/>
        <v>3106885.3199999994</v>
      </c>
      <c r="BM40" s="87">
        <f t="shared" si="235"/>
        <v>3106885.3199999994</v>
      </c>
      <c r="BN40" s="87">
        <f t="shared" si="235"/>
        <v>3106885.3199999994</v>
      </c>
      <c r="BO40" s="87">
        <f t="shared" si="235"/>
        <v>3106885.3199999994</v>
      </c>
      <c r="BP40" s="87">
        <f t="shared" si="235"/>
        <v>3106885.3199999994</v>
      </c>
      <c r="BQ40" s="89">
        <f t="shared" si="114"/>
        <v>37282623.839999996</v>
      </c>
      <c r="BR40" s="87">
        <f>BM38</f>
        <v>3106885.3199999994</v>
      </c>
      <c r="BS40" s="87">
        <f t="shared" ref="BS40:CC40" si="236">BR40</f>
        <v>3106885.3199999994</v>
      </c>
      <c r="BT40" s="87">
        <f t="shared" si="236"/>
        <v>3106885.3199999994</v>
      </c>
      <c r="BU40" s="87">
        <f t="shared" si="236"/>
        <v>3106885.3199999994</v>
      </c>
      <c r="BV40" s="87">
        <f t="shared" si="236"/>
        <v>3106885.3199999994</v>
      </c>
      <c r="BW40" s="87">
        <f t="shared" si="236"/>
        <v>3106885.3199999994</v>
      </c>
      <c r="BX40" s="87">
        <f t="shared" si="236"/>
        <v>3106885.3199999994</v>
      </c>
      <c r="BY40" s="87">
        <f t="shared" si="236"/>
        <v>3106885.3199999994</v>
      </c>
      <c r="BZ40" s="87">
        <f t="shared" si="236"/>
        <v>3106885.3199999994</v>
      </c>
      <c r="CA40" s="87">
        <f t="shared" si="236"/>
        <v>3106885.3199999994</v>
      </c>
      <c r="CB40" s="87">
        <f t="shared" si="236"/>
        <v>3106885.3199999994</v>
      </c>
      <c r="CC40" s="87">
        <f t="shared" si="236"/>
        <v>3106885.3199999994</v>
      </c>
      <c r="CD40" s="89">
        <f t="shared" si="116"/>
        <v>37282623.839999996</v>
      </c>
      <c r="CE40" s="87">
        <f>BZ38</f>
        <v>3106885.3199999994</v>
      </c>
      <c r="CF40" s="87">
        <f t="shared" ref="CF40:CP40" si="237">CE40</f>
        <v>3106885.3199999994</v>
      </c>
      <c r="CG40" s="87">
        <f t="shared" si="237"/>
        <v>3106885.3199999994</v>
      </c>
      <c r="CH40" s="87">
        <f t="shared" si="237"/>
        <v>3106885.3199999994</v>
      </c>
      <c r="CI40" s="87">
        <f t="shared" si="237"/>
        <v>3106885.3199999994</v>
      </c>
      <c r="CJ40" s="87">
        <f t="shared" si="237"/>
        <v>3106885.3199999994</v>
      </c>
      <c r="CK40" s="87">
        <f t="shared" si="237"/>
        <v>3106885.3199999994</v>
      </c>
      <c r="CL40" s="87">
        <f t="shared" si="237"/>
        <v>3106885.3199999994</v>
      </c>
      <c r="CM40" s="87">
        <f t="shared" si="237"/>
        <v>3106885.3199999994</v>
      </c>
      <c r="CN40" s="87">
        <f t="shared" si="237"/>
        <v>3106885.3199999994</v>
      </c>
      <c r="CO40" s="87">
        <f t="shared" si="237"/>
        <v>3106885.3199999994</v>
      </c>
      <c r="CP40" s="38">
        <f t="shared" si="237"/>
        <v>3106885.3199999994</v>
      </c>
      <c r="CQ40" s="88">
        <f t="shared" si="118"/>
        <v>37282623.839999996</v>
      </c>
      <c r="CR40" s="95"/>
      <c r="CS40" s="95"/>
      <c r="CT40" s="95"/>
      <c r="CU40" s="95"/>
      <c r="CV40" s="95"/>
      <c r="CW40" s="95"/>
      <c r="CX40" s="95"/>
      <c r="CY40" s="95"/>
      <c r="CZ40" s="95"/>
      <c r="DA40" s="95"/>
      <c r="DB40" s="95"/>
      <c r="DC40" s="95"/>
      <c r="DD40" s="95"/>
      <c r="DE40" s="95"/>
      <c r="DF40" s="95"/>
      <c r="DG40" s="95"/>
      <c r="DH40" s="95"/>
      <c r="DI40" s="95"/>
      <c r="DJ40" s="95"/>
      <c r="DK40" s="95"/>
    </row>
    <row r="41" spans="1:115" ht="14.25" customHeight="1" outlineLevel="1" x14ac:dyDescent="0.4">
      <c r="A41" s="94"/>
      <c r="B41" s="95" t="s">
        <v>86</v>
      </c>
      <c r="C41" s="88">
        <f t="shared" si="107"/>
        <v>192953930.4000001</v>
      </c>
      <c r="D41" s="95"/>
      <c r="E41" s="44"/>
      <c r="F41" s="95"/>
      <c r="G41" s="95"/>
      <c r="H41" s="95"/>
      <c r="I41" s="87"/>
      <c r="J41" s="87"/>
      <c r="K41" s="87"/>
      <c r="L41" s="87"/>
      <c r="M41" s="87"/>
      <c r="N41" s="87"/>
      <c r="O41" s="87"/>
      <c r="P41" s="87"/>
      <c r="Q41" s="89">
        <f t="shared" si="108"/>
        <v>0</v>
      </c>
      <c r="R41" s="87"/>
      <c r="S41" s="87"/>
      <c r="T41" s="87"/>
      <c r="U41" s="87"/>
      <c r="V41" s="87"/>
      <c r="W41" s="87"/>
      <c r="X41" s="87"/>
      <c r="Y41" s="87"/>
      <c r="Z41" s="87"/>
      <c r="AA41" s="87"/>
      <c r="AB41" s="87"/>
      <c r="AC41" s="87"/>
      <c r="AD41" s="89">
        <f t="shared" si="228"/>
        <v>0</v>
      </c>
      <c r="AE41" s="87"/>
      <c r="AF41" s="87">
        <f>'JV3 High Creek Wells 100%WI'!$B$25*5</f>
        <v>3270405.6</v>
      </c>
      <c r="AG41" s="87">
        <f>'JV3 High Creek Wells 100%WI'!$B$25*5</f>
        <v>3270405.6</v>
      </c>
      <c r="AH41" s="87">
        <f t="shared" si="212"/>
        <v>3270405.6</v>
      </c>
      <c r="AI41" s="87">
        <f>AG41</f>
        <v>3270405.6</v>
      </c>
      <c r="AJ41" s="87">
        <f t="shared" si="223"/>
        <v>3270405.6</v>
      </c>
      <c r="AK41" s="87">
        <f t="shared" si="223"/>
        <v>3270405.6</v>
      </c>
      <c r="AL41" s="87">
        <f t="shared" si="223"/>
        <v>3270405.6</v>
      </c>
      <c r="AM41" s="87">
        <f t="shared" si="223"/>
        <v>3270405.6</v>
      </c>
      <c r="AN41" s="87">
        <f t="shared" si="223"/>
        <v>3270405.6</v>
      </c>
      <c r="AO41" s="87">
        <f t="shared" ref="AO41:AP41" si="238">AN41</f>
        <v>3270405.6</v>
      </c>
      <c r="AP41" s="87">
        <f t="shared" si="238"/>
        <v>3270405.6</v>
      </c>
      <c r="AQ41" s="89">
        <f t="shared" si="112"/>
        <v>35974461.600000009</v>
      </c>
      <c r="AR41" s="87">
        <f>AP41</f>
        <v>3270405.6</v>
      </c>
      <c r="AS41" s="87">
        <f t="shared" si="234"/>
        <v>3270405.6</v>
      </c>
      <c r="AT41" s="87">
        <f>'JV3 High Creek Wells 100%WI'!$B$25*5</f>
        <v>3270405.6</v>
      </c>
      <c r="AU41" s="87">
        <f t="shared" ref="AU41:BB45" si="239">AT41</f>
        <v>3270405.6</v>
      </c>
      <c r="AV41" s="87">
        <f t="shared" si="239"/>
        <v>3270405.6</v>
      </c>
      <c r="AW41" s="87">
        <f t="shared" si="239"/>
        <v>3270405.6</v>
      </c>
      <c r="AX41" s="87">
        <f t="shared" si="239"/>
        <v>3270405.6</v>
      </c>
      <c r="AY41" s="87">
        <f t="shared" si="239"/>
        <v>3270405.6</v>
      </c>
      <c r="AZ41" s="87">
        <f t="shared" si="239"/>
        <v>3270405.6</v>
      </c>
      <c r="BA41" s="87">
        <f t="shared" si="239"/>
        <v>3270405.6</v>
      </c>
      <c r="BB41" s="87">
        <f t="shared" si="239"/>
        <v>3270405.6</v>
      </c>
      <c r="BC41" s="87">
        <f>'JV3 High Creek Wells 100%WI'!$B$25*5</f>
        <v>3270405.6</v>
      </c>
      <c r="BD41" s="89">
        <f t="shared" si="113"/>
        <v>39244867.20000001</v>
      </c>
      <c r="BE41" s="87">
        <f t="shared" ref="BE41:BE45" si="240">BC41</f>
        <v>3270405.6</v>
      </c>
      <c r="BF41" s="87">
        <f t="shared" ref="BF41:BF45" si="241">BE41</f>
        <v>3270405.6</v>
      </c>
      <c r="BG41" s="87">
        <f>BB39</f>
        <v>3270405.6</v>
      </c>
      <c r="BH41" s="87">
        <f t="shared" ref="BH41:BP41" si="242">BG41</f>
        <v>3270405.6</v>
      </c>
      <c r="BI41" s="87">
        <f t="shared" si="242"/>
        <v>3270405.6</v>
      </c>
      <c r="BJ41" s="87">
        <f t="shared" si="242"/>
        <v>3270405.6</v>
      </c>
      <c r="BK41" s="87">
        <f t="shared" si="242"/>
        <v>3270405.6</v>
      </c>
      <c r="BL41" s="87">
        <f t="shared" si="242"/>
        <v>3270405.6</v>
      </c>
      <c r="BM41" s="87">
        <f t="shared" si="242"/>
        <v>3270405.6</v>
      </c>
      <c r="BN41" s="87">
        <f t="shared" si="242"/>
        <v>3270405.6</v>
      </c>
      <c r="BO41" s="87">
        <f t="shared" si="242"/>
        <v>3270405.6</v>
      </c>
      <c r="BP41" s="87">
        <f t="shared" si="242"/>
        <v>3270405.6</v>
      </c>
      <c r="BQ41" s="89">
        <f t="shared" si="114"/>
        <v>39244867.20000001</v>
      </c>
      <c r="BR41" s="87">
        <f t="shared" ref="BR41:BR45" si="243">BP41</f>
        <v>3270405.6</v>
      </c>
      <c r="BS41" s="87">
        <f t="shared" ref="BS41:BS45" si="244">BR41</f>
        <v>3270405.6</v>
      </c>
      <c r="BT41" s="87">
        <f>BO39</f>
        <v>3270405.6</v>
      </c>
      <c r="BU41" s="87">
        <f t="shared" ref="BU41:CC41" si="245">BT41</f>
        <v>3270405.6</v>
      </c>
      <c r="BV41" s="87">
        <f t="shared" si="245"/>
        <v>3270405.6</v>
      </c>
      <c r="BW41" s="87">
        <f t="shared" si="245"/>
        <v>3270405.6</v>
      </c>
      <c r="BX41" s="87">
        <f t="shared" si="245"/>
        <v>3270405.6</v>
      </c>
      <c r="BY41" s="87">
        <f t="shared" si="245"/>
        <v>3270405.6</v>
      </c>
      <c r="BZ41" s="87">
        <f t="shared" si="245"/>
        <v>3270405.6</v>
      </c>
      <c r="CA41" s="87">
        <f t="shared" si="245"/>
        <v>3270405.6</v>
      </c>
      <c r="CB41" s="87">
        <f t="shared" si="245"/>
        <v>3270405.6</v>
      </c>
      <c r="CC41" s="87">
        <f t="shared" si="245"/>
        <v>3270405.6</v>
      </c>
      <c r="CD41" s="89">
        <f t="shared" si="116"/>
        <v>39244867.20000001</v>
      </c>
      <c r="CE41" s="87">
        <f t="shared" ref="CE41:CE45" si="246">CC41</f>
        <v>3270405.6</v>
      </c>
      <c r="CF41" s="87">
        <f t="shared" ref="CF41:CF45" si="247">CE41</f>
        <v>3270405.6</v>
      </c>
      <c r="CG41" s="87">
        <f>CB39</f>
        <v>3270405.6</v>
      </c>
      <c r="CH41" s="87">
        <f t="shared" ref="CH41:CP41" si="248">CG41</f>
        <v>3270405.6</v>
      </c>
      <c r="CI41" s="87">
        <f t="shared" si="248"/>
        <v>3270405.6</v>
      </c>
      <c r="CJ41" s="87">
        <f t="shared" si="248"/>
        <v>3270405.6</v>
      </c>
      <c r="CK41" s="87">
        <f t="shared" si="248"/>
        <v>3270405.6</v>
      </c>
      <c r="CL41" s="87">
        <f t="shared" si="248"/>
        <v>3270405.6</v>
      </c>
      <c r="CM41" s="87">
        <f t="shared" si="248"/>
        <v>3270405.6</v>
      </c>
      <c r="CN41" s="87">
        <f t="shared" si="248"/>
        <v>3270405.6</v>
      </c>
      <c r="CO41" s="87">
        <f t="shared" si="248"/>
        <v>3270405.6</v>
      </c>
      <c r="CP41" s="38">
        <f t="shared" si="248"/>
        <v>3270405.6</v>
      </c>
      <c r="CQ41" s="88">
        <f t="shared" si="118"/>
        <v>39244867.20000001</v>
      </c>
      <c r="CR41" s="95"/>
      <c r="CS41" s="95"/>
      <c r="CT41" s="95"/>
      <c r="CU41" s="95"/>
      <c r="CV41" s="95"/>
      <c r="CW41" s="95"/>
      <c r="CX41" s="95"/>
      <c r="CY41" s="95"/>
      <c r="CZ41" s="95"/>
      <c r="DA41" s="95"/>
      <c r="DB41" s="95"/>
      <c r="DC41" s="95"/>
      <c r="DD41" s="95"/>
      <c r="DE41" s="95"/>
      <c r="DF41" s="95"/>
      <c r="DG41" s="95"/>
      <c r="DH41" s="95"/>
      <c r="DI41" s="95"/>
      <c r="DJ41" s="95"/>
      <c r="DK41" s="95"/>
    </row>
    <row r="42" spans="1:115" ht="14.25" customHeight="1" outlineLevel="1" x14ac:dyDescent="0.4">
      <c r="A42" s="94"/>
      <c r="B42" s="95" t="s">
        <v>87</v>
      </c>
      <c r="C42" s="88">
        <f t="shared" si="107"/>
        <v>180199348.55999967</v>
      </c>
      <c r="D42" s="44"/>
      <c r="E42" s="44"/>
      <c r="F42" s="95"/>
      <c r="G42" s="95"/>
      <c r="H42" s="95"/>
      <c r="I42" s="87"/>
      <c r="J42" s="87"/>
      <c r="K42" s="87"/>
      <c r="L42" s="87"/>
      <c r="M42" s="87"/>
      <c r="N42" s="87"/>
      <c r="O42" s="87"/>
      <c r="P42" s="87"/>
      <c r="Q42" s="89">
        <f t="shared" si="108"/>
        <v>0</v>
      </c>
      <c r="R42" s="87"/>
      <c r="S42" s="87"/>
      <c r="T42" s="87"/>
      <c r="U42" s="87"/>
      <c r="V42" s="87"/>
      <c r="W42" s="87"/>
      <c r="X42" s="87"/>
      <c r="Y42" s="87"/>
      <c r="Z42" s="87"/>
      <c r="AA42" s="87"/>
      <c r="AB42" s="87"/>
      <c r="AC42" s="87"/>
      <c r="AD42" s="89">
        <f t="shared" si="228"/>
        <v>0</v>
      </c>
      <c r="AE42" s="87"/>
      <c r="AF42" s="87"/>
      <c r="AG42" s="87">
        <f>'JV 1B  Wells 95%WI'!$B$25*5</f>
        <v>3106885.3199999994</v>
      </c>
      <c r="AH42" s="87">
        <f t="shared" si="212"/>
        <v>3106885.3199999994</v>
      </c>
      <c r="AI42" s="87">
        <f>AH42</f>
        <v>3106885.3199999994</v>
      </c>
      <c r="AJ42" s="87">
        <f t="shared" si="223"/>
        <v>3106885.3199999994</v>
      </c>
      <c r="AK42" s="87">
        <f t="shared" si="223"/>
        <v>3106885.3199999994</v>
      </c>
      <c r="AL42" s="87">
        <f t="shared" si="223"/>
        <v>3106885.3199999994</v>
      </c>
      <c r="AM42" s="87">
        <f t="shared" si="223"/>
        <v>3106885.3199999994</v>
      </c>
      <c r="AN42" s="87">
        <f t="shared" si="223"/>
        <v>3106885.3199999994</v>
      </c>
      <c r="AO42" s="87">
        <f t="shared" ref="AO42:AP42" si="249">AN42</f>
        <v>3106885.3199999994</v>
      </c>
      <c r="AP42" s="87">
        <f t="shared" si="249"/>
        <v>3106885.3199999994</v>
      </c>
      <c r="AQ42" s="89">
        <f t="shared" si="112"/>
        <v>31068853.199999999</v>
      </c>
      <c r="AR42" s="87">
        <f>AP42</f>
        <v>3106885.3199999994</v>
      </c>
      <c r="AS42" s="87">
        <f t="shared" si="234"/>
        <v>3106885.3199999994</v>
      </c>
      <c r="AT42" s="87">
        <f t="shared" ref="AT42:AT45" si="250">AS42</f>
        <v>3106885.3199999994</v>
      </c>
      <c r="AU42" s="87">
        <f t="shared" si="239"/>
        <v>3106885.3199999994</v>
      </c>
      <c r="AV42" s="87">
        <f t="shared" si="239"/>
        <v>3106885.3199999994</v>
      </c>
      <c r="AW42" s="87">
        <f t="shared" si="239"/>
        <v>3106885.3199999994</v>
      </c>
      <c r="AX42" s="87">
        <f t="shared" si="239"/>
        <v>3106885.3199999994</v>
      </c>
      <c r="AY42" s="87">
        <f t="shared" si="239"/>
        <v>3106885.3199999994</v>
      </c>
      <c r="AZ42" s="87">
        <f t="shared" si="239"/>
        <v>3106885.3199999994</v>
      </c>
      <c r="BA42" s="87">
        <f t="shared" si="239"/>
        <v>3106885.3199999994</v>
      </c>
      <c r="BB42" s="87">
        <f t="shared" si="239"/>
        <v>3106885.3199999994</v>
      </c>
      <c r="BC42" s="87">
        <f t="shared" ref="BC42:BC45" si="251">BB42</f>
        <v>3106885.3199999994</v>
      </c>
      <c r="BD42" s="89">
        <f t="shared" si="113"/>
        <v>37282623.839999996</v>
      </c>
      <c r="BE42" s="87">
        <f t="shared" si="240"/>
        <v>3106885.3199999994</v>
      </c>
      <c r="BF42" s="87">
        <f t="shared" si="241"/>
        <v>3106885.3199999994</v>
      </c>
      <c r="BG42" s="87">
        <f t="shared" ref="BG42:BH42" si="252">BF42</f>
        <v>3106885.3199999994</v>
      </c>
      <c r="BH42" s="87">
        <f t="shared" si="252"/>
        <v>3106885.3199999994</v>
      </c>
      <c r="BI42" s="87">
        <f>BE40</f>
        <v>3106885.3199999994</v>
      </c>
      <c r="BJ42" s="87">
        <f t="shared" ref="BJ42:BP42" si="253">BI42</f>
        <v>3106885.3199999994</v>
      </c>
      <c r="BK42" s="87">
        <f t="shared" si="253"/>
        <v>3106885.3199999994</v>
      </c>
      <c r="BL42" s="87">
        <f t="shared" si="253"/>
        <v>3106885.3199999994</v>
      </c>
      <c r="BM42" s="87">
        <f t="shared" si="253"/>
        <v>3106885.3199999994</v>
      </c>
      <c r="BN42" s="87">
        <f t="shared" si="253"/>
        <v>3106885.3199999994</v>
      </c>
      <c r="BO42" s="87">
        <f t="shared" si="253"/>
        <v>3106885.3199999994</v>
      </c>
      <c r="BP42" s="87">
        <f t="shared" si="253"/>
        <v>3106885.3199999994</v>
      </c>
      <c r="BQ42" s="89">
        <f t="shared" si="114"/>
        <v>37282623.839999996</v>
      </c>
      <c r="BR42" s="87">
        <f t="shared" si="243"/>
        <v>3106885.3199999994</v>
      </c>
      <c r="BS42" s="87">
        <f t="shared" si="244"/>
        <v>3106885.3199999994</v>
      </c>
      <c r="BT42" s="87">
        <f t="shared" ref="BT42:BU42" si="254">BS42</f>
        <v>3106885.3199999994</v>
      </c>
      <c r="BU42" s="87">
        <f t="shared" si="254"/>
        <v>3106885.3199999994</v>
      </c>
      <c r="BV42" s="87">
        <f>BR40</f>
        <v>3106885.3199999994</v>
      </c>
      <c r="BW42" s="87">
        <f t="shared" ref="BW42:CC42" si="255">BV42</f>
        <v>3106885.3199999994</v>
      </c>
      <c r="BX42" s="87">
        <f t="shared" si="255"/>
        <v>3106885.3199999994</v>
      </c>
      <c r="BY42" s="87">
        <f t="shared" si="255"/>
        <v>3106885.3199999994</v>
      </c>
      <c r="BZ42" s="87">
        <f t="shared" si="255"/>
        <v>3106885.3199999994</v>
      </c>
      <c r="CA42" s="87">
        <f t="shared" si="255"/>
        <v>3106885.3199999994</v>
      </c>
      <c r="CB42" s="87">
        <f t="shared" si="255"/>
        <v>3106885.3199999994</v>
      </c>
      <c r="CC42" s="87">
        <f t="shared" si="255"/>
        <v>3106885.3199999994</v>
      </c>
      <c r="CD42" s="89">
        <f t="shared" si="116"/>
        <v>37282623.839999996</v>
      </c>
      <c r="CE42" s="87">
        <f t="shared" si="246"/>
        <v>3106885.3199999994</v>
      </c>
      <c r="CF42" s="87">
        <f t="shared" si="247"/>
        <v>3106885.3199999994</v>
      </c>
      <c r="CG42" s="87">
        <f t="shared" ref="CG42:CH42" si="256">CF42</f>
        <v>3106885.3199999994</v>
      </c>
      <c r="CH42" s="87">
        <f t="shared" si="256"/>
        <v>3106885.3199999994</v>
      </c>
      <c r="CI42" s="87">
        <f>CE40</f>
        <v>3106885.3199999994</v>
      </c>
      <c r="CJ42" s="87">
        <f t="shared" ref="CJ42:CP42" si="257">CI42</f>
        <v>3106885.3199999994</v>
      </c>
      <c r="CK42" s="87">
        <f t="shared" si="257"/>
        <v>3106885.3199999994</v>
      </c>
      <c r="CL42" s="87">
        <f t="shared" si="257"/>
        <v>3106885.3199999994</v>
      </c>
      <c r="CM42" s="87">
        <f t="shared" si="257"/>
        <v>3106885.3199999994</v>
      </c>
      <c r="CN42" s="87">
        <f t="shared" si="257"/>
        <v>3106885.3199999994</v>
      </c>
      <c r="CO42" s="87">
        <f t="shared" si="257"/>
        <v>3106885.3199999994</v>
      </c>
      <c r="CP42" s="38">
        <f t="shared" si="257"/>
        <v>3106885.3199999994</v>
      </c>
      <c r="CQ42" s="88">
        <f t="shared" si="118"/>
        <v>37282623.839999996</v>
      </c>
      <c r="CR42" s="95"/>
      <c r="CS42" s="95"/>
      <c r="CT42" s="95"/>
      <c r="CU42" s="95"/>
      <c r="CV42" s="95"/>
      <c r="CW42" s="95"/>
      <c r="CX42" s="95"/>
      <c r="CY42" s="95"/>
      <c r="CZ42" s="95"/>
      <c r="DA42" s="95"/>
      <c r="DB42" s="95"/>
      <c r="DC42" s="95"/>
      <c r="DD42" s="95"/>
      <c r="DE42" s="95"/>
      <c r="DF42" s="95"/>
      <c r="DG42" s="95"/>
      <c r="DH42" s="95"/>
      <c r="DI42" s="95"/>
      <c r="DJ42" s="95"/>
      <c r="DK42" s="95"/>
    </row>
    <row r="43" spans="1:115" ht="14.25" customHeight="1" outlineLevel="1" x14ac:dyDescent="0.4">
      <c r="A43" s="94"/>
      <c r="B43" s="95" t="s">
        <v>88</v>
      </c>
      <c r="C43" s="88">
        <f t="shared" si="107"/>
        <v>186413119.20000008</v>
      </c>
      <c r="D43" s="95"/>
      <c r="E43" s="44"/>
      <c r="F43" s="95"/>
      <c r="G43" s="95"/>
      <c r="H43" s="95"/>
      <c r="I43" s="87"/>
      <c r="J43" s="87"/>
      <c r="K43" s="87"/>
      <c r="L43" s="87"/>
      <c r="M43" s="87"/>
      <c r="N43" s="87"/>
      <c r="O43" s="87"/>
      <c r="P43" s="87"/>
      <c r="Q43" s="89">
        <f t="shared" si="108"/>
        <v>0</v>
      </c>
      <c r="R43" s="87"/>
      <c r="S43" s="87"/>
      <c r="T43" s="87"/>
      <c r="U43" s="87"/>
      <c r="V43" s="87"/>
      <c r="W43" s="87"/>
      <c r="X43" s="87"/>
      <c r="Y43" s="87"/>
      <c r="Z43" s="87"/>
      <c r="AA43" s="87"/>
      <c r="AB43" s="87"/>
      <c r="AC43" s="87"/>
      <c r="AD43" s="89">
        <f t="shared" si="228"/>
        <v>0</v>
      </c>
      <c r="AE43" s="87"/>
      <c r="AF43" s="87"/>
      <c r="AG43" s="87"/>
      <c r="AH43" s="87">
        <f>'JV3 High Creek Wells 100%WI'!$B$25*5</f>
        <v>3270405.6</v>
      </c>
      <c r="AI43" s="87">
        <f>'JV3 High Creek Wells 100%WI'!$B$25*5</f>
        <v>3270405.6</v>
      </c>
      <c r="AJ43" s="87">
        <f>AI43</f>
        <v>3270405.6</v>
      </c>
      <c r="AK43" s="87">
        <f t="shared" ref="AK43:AP43" si="258">AJ43</f>
        <v>3270405.6</v>
      </c>
      <c r="AL43" s="87">
        <f t="shared" si="258"/>
        <v>3270405.6</v>
      </c>
      <c r="AM43" s="87">
        <f t="shared" si="258"/>
        <v>3270405.6</v>
      </c>
      <c r="AN43" s="87">
        <f t="shared" si="258"/>
        <v>3270405.6</v>
      </c>
      <c r="AO43" s="87">
        <f t="shared" si="258"/>
        <v>3270405.6</v>
      </c>
      <c r="AP43" s="87">
        <f t="shared" si="258"/>
        <v>3270405.6</v>
      </c>
      <c r="AQ43" s="89">
        <f t="shared" si="112"/>
        <v>29433650.400000006</v>
      </c>
      <c r="AR43" s="87">
        <f>AP43</f>
        <v>3270405.6</v>
      </c>
      <c r="AS43" s="87">
        <f t="shared" si="234"/>
        <v>3270405.6</v>
      </c>
      <c r="AT43" s="87">
        <f t="shared" si="250"/>
        <v>3270405.6</v>
      </c>
      <c r="AU43" s="87">
        <f t="shared" si="239"/>
        <v>3270405.6</v>
      </c>
      <c r="AV43" s="87">
        <f t="shared" si="239"/>
        <v>3270405.6</v>
      </c>
      <c r="AW43" s="87">
        <f t="shared" si="239"/>
        <v>3270405.6</v>
      </c>
      <c r="AX43" s="87">
        <f t="shared" si="239"/>
        <v>3270405.6</v>
      </c>
      <c r="AY43" s="87">
        <f t="shared" si="239"/>
        <v>3270405.6</v>
      </c>
      <c r="AZ43" s="87">
        <f t="shared" si="239"/>
        <v>3270405.6</v>
      </c>
      <c r="BA43" s="87">
        <f t="shared" si="239"/>
        <v>3270405.6</v>
      </c>
      <c r="BB43" s="87">
        <f t="shared" si="239"/>
        <v>3270405.6</v>
      </c>
      <c r="BC43" s="87">
        <f t="shared" si="251"/>
        <v>3270405.6</v>
      </c>
      <c r="BD43" s="89">
        <f t="shared" si="113"/>
        <v>39244867.20000001</v>
      </c>
      <c r="BE43" s="87">
        <f t="shared" si="240"/>
        <v>3270405.6</v>
      </c>
      <c r="BF43" s="87">
        <f t="shared" si="241"/>
        <v>3270405.6</v>
      </c>
      <c r="BG43" s="87">
        <f t="shared" ref="BG43:BJ43" si="259">BF43</f>
        <v>3270405.6</v>
      </c>
      <c r="BH43" s="87">
        <f t="shared" si="259"/>
        <v>3270405.6</v>
      </c>
      <c r="BI43" s="87">
        <f t="shared" si="259"/>
        <v>3270405.6</v>
      </c>
      <c r="BJ43" s="87">
        <f t="shared" si="259"/>
        <v>3270405.6</v>
      </c>
      <c r="BK43" s="87">
        <f>BG41</f>
        <v>3270405.6</v>
      </c>
      <c r="BL43" s="87">
        <f t="shared" ref="BL43:BP43" si="260">BK43</f>
        <v>3270405.6</v>
      </c>
      <c r="BM43" s="87">
        <f t="shared" si="260"/>
        <v>3270405.6</v>
      </c>
      <c r="BN43" s="87">
        <f t="shared" si="260"/>
        <v>3270405.6</v>
      </c>
      <c r="BO43" s="87">
        <f t="shared" si="260"/>
        <v>3270405.6</v>
      </c>
      <c r="BP43" s="87">
        <f t="shared" si="260"/>
        <v>3270405.6</v>
      </c>
      <c r="BQ43" s="89">
        <f t="shared" si="114"/>
        <v>39244867.20000001</v>
      </c>
      <c r="BR43" s="87">
        <f t="shared" si="243"/>
        <v>3270405.6</v>
      </c>
      <c r="BS43" s="87">
        <f t="shared" si="244"/>
        <v>3270405.6</v>
      </c>
      <c r="BT43" s="87">
        <f t="shared" ref="BT43:BW43" si="261">BS43</f>
        <v>3270405.6</v>
      </c>
      <c r="BU43" s="87">
        <f t="shared" si="261"/>
        <v>3270405.6</v>
      </c>
      <c r="BV43" s="87">
        <f t="shared" si="261"/>
        <v>3270405.6</v>
      </c>
      <c r="BW43" s="87">
        <f t="shared" si="261"/>
        <v>3270405.6</v>
      </c>
      <c r="BX43" s="87">
        <f>BT41</f>
        <v>3270405.6</v>
      </c>
      <c r="BY43" s="87">
        <f t="shared" ref="BY43:CC43" si="262">BX43</f>
        <v>3270405.6</v>
      </c>
      <c r="BZ43" s="87">
        <f t="shared" si="262"/>
        <v>3270405.6</v>
      </c>
      <c r="CA43" s="87">
        <f t="shared" si="262"/>
        <v>3270405.6</v>
      </c>
      <c r="CB43" s="87">
        <f t="shared" si="262"/>
        <v>3270405.6</v>
      </c>
      <c r="CC43" s="87">
        <f t="shared" si="262"/>
        <v>3270405.6</v>
      </c>
      <c r="CD43" s="89">
        <f t="shared" si="116"/>
        <v>39244867.20000001</v>
      </c>
      <c r="CE43" s="87">
        <f t="shared" si="246"/>
        <v>3270405.6</v>
      </c>
      <c r="CF43" s="87">
        <f t="shared" si="247"/>
        <v>3270405.6</v>
      </c>
      <c r="CG43" s="87">
        <f t="shared" ref="CG43:CJ43" si="263">CF43</f>
        <v>3270405.6</v>
      </c>
      <c r="CH43" s="87">
        <f t="shared" si="263"/>
        <v>3270405.6</v>
      </c>
      <c r="CI43" s="87">
        <f t="shared" si="263"/>
        <v>3270405.6</v>
      </c>
      <c r="CJ43" s="87">
        <f t="shared" si="263"/>
        <v>3270405.6</v>
      </c>
      <c r="CK43" s="87">
        <f>CG41</f>
        <v>3270405.6</v>
      </c>
      <c r="CL43" s="87">
        <f t="shared" ref="CL43:CP43" si="264">CK43</f>
        <v>3270405.6</v>
      </c>
      <c r="CM43" s="87">
        <f t="shared" si="264"/>
        <v>3270405.6</v>
      </c>
      <c r="CN43" s="87">
        <f t="shared" si="264"/>
        <v>3270405.6</v>
      </c>
      <c r="CO43" s="87">
        <f t="shared" si="264"/>
        <v>3270405.6</v>
      </c>
      <c r="CP43" s="38">
        <f t="shared" si="264"/>
        <v>3270405.6</v>
      </c>
      <c r="CQ43" s="88">
        <f t="shared" si="118"/>
        <v>39244867.20000001</v>
      </c>
      <c r="CR43" s="95"/>
      <c r="CS43" s="95"/>
      <c r="CT43" s="95"/>
      <c r="CU43" s="95"/>
      <c r="CV43" s="95"/>
      <c r="CW43" s="95"/>
      <c r="CX43" s="95"/>
      <c r="CY43" s="95"/>
      <c r="CZ43" s="95"/>
      <c r="DA43" s="95"/>
      <c r="DB43" s="95"/>
      <c r="DC43" s="95"/>
      <c r="DD43" s="95"/>
      <c r="DE43" s="95"/>
      <c r="DF43" s="95"/>
      <c r="DG43" s="95"/>
      <c r="DH43" s="95"/>
      <c r="DI43" s="95"/>
      <c r="DJ43" s="95"/>
      <c r="DK43" s="95"/>
    </row>
    <row r="44" spans="1:115" ht="14.25" customHeight="1" outlineLevel="1" x14ac:dyDescent="0.4">
      <c r="A44" s="94"/>
      <c r="B44" s="95" t="s">
        <v>89</v>
      </c>
      <c r="C44" s="88">
        <f t="shared" si="107"/>
        <v>173985577.91999969</v>
      </c>
      <c r="D44" s="44"/>
      <c r="E44" s="44"/>
      <c r="F44" s="95"/>
      <c r="G44" s="95"/>
      <c r="H44" s="95"/>
      <c r="I44" s="87"/>
      <c r="J44" s="87"/>
      <c r="K44" s="87"/>
      <c r="L44" s="87"/>
      <c r="M44" s="87"/>
      <c r="N44" s="87"/>
      <c r="O44" s="87"/>
      <c r="P44" s="87"/>
      <c r="Q44" s="89">
        <f t="shared" si="108"/>
        <v>0</v>
      </c>
      <c r="R44" s="87"/>
      <c r="S44" s="87"/>
      <c r="T44" s="87"/>
      <c r="U44" s="87"/>
      <c r="V44" s="87"/>
      <c r="W44" s="87"/>
      <c r="X44" s="87"/>
      <c r="Y44" s="87"/>
      <c r="Z44" s="87"/>
      <c r="AA44" s="87"/>
      <c r="AB44" s="87"/>
      <c r="AC44" s="87"/>
      <c r="AD44" s="89">
        <f t="shared" si="228"/>
        <v>0</v>
      </c>
      <c r="AE44" s="87"/>
      <c r="AF44" s="87"/>
      <c r="AG44" s="87"/>
      <c r="AH44" s="87"/>
      <c r="AI44" s="87">
        <f>'JV 1B  Wells 95%WI'!$B$25*5</f>
        <v>3106885.3199999994</v>
      </c>
      <c r="AJ44" s="87">
        <f>AI44</f>
        <v>3106885.3199999994</v>
      </c>
      <c r="AK44" s="87">
        <f t="shared" ref="AK44:AP44" si="265">AJ44</f>
        <v>3106885.3199999994</v>
      </c>
      <c r="AL44" s="87">
        <f t="shared" si="265"/>
        <v>3106885.3199999994</v>
      </c>
      <c r="AM44" s="87">
        <f t="shared" si="265"/>
        <v>3106885.3199999994</v>
      </c>
      <c r="AN44" s="87">
        <f t="shared" si="265"/>
        <v>3106885.3199999994</v>
      </c>
      <c r="AO44" s="87">
        <f t="shared" si="265"/>
        <v>3106885.3199999994</v>
      </c>
      <c r="AP44" s="87">
        <f t="shared" si="265"/>
        <v>3106885.3199999994</v>
      </c>
      <c r="AQ44" s="89">
        <f t="shared" si="112"/>
        <v>24855082.559999999</v>
      </c>
      <c r="AR44" s="87">
        <f t="shared" ref="AR44:AR45" si="266">AP44</f>
        <v>3106885.3199999994</v>
      </c>
      <c r="AS44" s="87">
        <f t="shared" si="234"/>
        <v>3106885.3199999994</v>
      </c>
      <c r="AT44" s="87">
        <f t="shared" si="250"/>
        <v>3106885.3199999994</v>
      </c>
      <c r="AU44" s="87">
        <f t="shared" si="239"/>
        <v>3106885.3199999994</v>
      </c>
      <c r="AV44" s="87">
        <f t="shared" si="239"/>
        <v>3106885.3199999994</v>
      </c>
      <c r="AW44" s="87">
        <f t="shared" si="239"/>
        <v>3106885.3199999994</v>
      </c>
      <c r="AX44" s="87">
        <f t="shared" si="239"/>
        <v>3106885.3199999994</v>
      </c>
      <c r="AY44" s="87">
        <f t="shared" si="239"/>
        <v>3106885.3199999994</v>
      </c>
      <c r="AZ44" s="87">
        <f t="shared" si="239"/>
        <v>3106885.3199999994</v>
      </c>
      <c r="BA44" s="87">
        <f t="shared" si="239"/>
        <v>3106885.3199999994</v>
      </c>
      <c r="BB44" s="87">
        <f t="shared" si="239"/>
        <v>3106885.3199999994</v>
      </c>
      <c r="BC44" s="87">
        <f t="shared" si="251"/>
        <v>3106885.3199999994</v>
      </c>
      <c r="BD44" s="89">
        <f t="shared" si="113"/>
        <v>37282623.839999996</v>
      </c>
      <c r="BE44" s="87">
        <f t="shared" si="240"/>
        <v>3106885.3199999994</v>
      </c>
      <c r="BF44" s="87">
        <f t="shared" si="241"/>
        <v>3106885.3199999994</v>
      </c>
      <c r="BG44" s="87">
        <f t="shared" ref="BG44:BO44" si="267">BE44</f>
        <v>3106885.3199999994</v>
      </c>
      <c r="BH44" s="87">
        <f t="shared" si="267"/>
        <v>3106885.3199999994</v>
      </c>
      <c r="BI44" s="87">
        <f t="shared" si="267"/>
        <v>3106885.3199999994</v>
      </c>
      <c r="BJ44" s="87">
        <f t="shared" si="267"/>
        <v>3106885.3199999994</v>
      </c>
      <c r="BK44" s="87">
        <f t="shared" si="267"/>
        <v>3106885.3199999994</v>
      </c>
      <c r="BL44" s="87">
        <f t="shared" si="267"/>
        <v>3106885.3199999994</v>
      </c>
      <c r="BM44" s="87">
        <f t="shared" si="267"/>
        <v>3106885.3199999994</v>
      </c>
      <c r="BN44" s="87">
        <f t="shared" si="267"/>
        <v>3106885.3199999994</v>
      </c>
      <c r="BO44" s="87">
        <f t="shared" si="267"/>
        <v>3106885.3199999994</v>
      </c>
      <c r="BP44" s="87">
        <f>BO44</f>
        <v>3106885.3199999994</v>
      </c>
      <c r="BQ44" s="89">
        <f t="shared" si="114"/>
        <v>37282623.839999996</v>
      </c>
      <c r="BR44" s="87">
        <f t="shared" si="243"/>
        <v>3106885.3199999994</v>
      </c>
      <c r="BS44" s="87">
        <f t="shared" si="244"/>
        <v>3106885.3199999994</v>
      </c>
      <c r="BT44" s="87">
        <f t="shared" ref="BT44:CC44" si="268">BS44</f>
        <v>3106885.3199999994</v>
      </c>
      <c r="BU44" s="87">
        <f t="shared" si="268"/>
        <v>3106885.3199999994</v>
      </c>
      <c r="BV44" s="87">
        <f t="shared" si="268"/>
        <v>3106885.3199999994</v>
      </c>
      <c r="BW44" s="87">
        <f t="shared" si="268"/>
        <v>3106885.3199999994</v>
      </c>
      <c r="BX44" s="87">
        <f t="shared" si="268"/>
        <v>3106885.3199999994</v>
      </c>
      <c r="BY44" s="87">
        <f t="shared" si="268"/>
        <v>3106885.3199999994</v>
      </c>
      <c r="BZ44" s="87">
        <f t="shared" si="268"/>
        <v>3106885.3199999994</v>
      </c>
      <c r="CA44" s="87">
        <f t="shared" si="268"/>
        <v>3106885.3199999994</v>
      </c>
      <c r="CB44" s="87">
        <f t="shared" si="268"/>
        <v>3106885.3199999994</v>
      </c>
      <c r="CC44" s="87">
        <f t="shared" si="268"/>
        <v>3106885.3199999994</v>
      </c>
      <c r="CD44" s="89">
        <f t="shared" si="116"/>
        <v>37282623.839999996</v>
      </c>
      <c r="CE44" s="87">
        <f t="shared" si="246"/>
        <v>3106885.3199999994</v>
      </c>
      <c r="CF44" s="87">
        <f t="shared" si="247"/>
        <v>3106885.3199999994</v>
      </c>
      <c r="CG44" s="87">
        <f t="shared" ref="CG44:CP44" si="269">CF44</f>
        <v>3106885.3199999994</v>
      </c>
      <c r="CH44" s="87">
        <f t="shared" si="269"/>
        <v>3106885.3199999994</v>
      </c>
      <c r="CI44" s="87">
        <f t="shared" si="269"/>
        <v>3106885.3199999994</v>
      </c>
      <c r="CJ44" s="87">
        <f t="shared" si="269"/>
        <v>3106885.3199999994</v>
      </c>
      <c r="CK44" s="87">
        <f t="shared" si="269"/>
        <v>3106885.3199999994</v>
      </c>
      <c r="CL44" s="87">
        <f t="shared" si="269"/>
        <v>3106885.3199999994</v>
      </c>
      <c r="CM44" s="87">
        <f t="shared" si="269"/>
        <v>3106885.3199999994</v>
      </c>
      <c r="CN44" s="87">
        <f t="shared" si="269"/>
        <v>3106885.3199999994</v>
      </c>
      <c r="CO44" s="87">
        <f t="shared" si="269"/>
        <v>3106885.3199999994</v>
      </c>
      <c r="CP44" s="38">
        <f t="shared" si="269"/>
        <v>3106885.3199999994</v>
      </c>
      <c r="CQ44" s="88">
        <f t="shared" si="118"/>
        <v>37282623.839999996</v>
      </c>
      <c r="CR44" s="95"/>
      <c r="CS44" s="95"/>
      <c r="CT44" s="95"/>
      <c r="CU44" s="95"/>
      <c r="CV44" s="95"/>
      <c r="CW44" s="95"/>
      <c r="CX44" s="95"/>
      <c r="CY44" s="95"/>
      <c r="CZ44" s="95"/>
      <c r="DA44" s="95"/>
      <c r="DB44" s="95"/>
      <c r="DC44" s="95"/>
      <c r="DD44" s="95"/>
      <c r="DE44" s="95"/>
      <c r="DF44" s="95"/>
      <c r="DG44" s="95"/>
      <c r="DH44" s="95"/>
      <c r="DI44" s="95"/>
      <c r="DJ44" s="95"/>
      <c r="DK44" s="95"/>
    </row>
    <row r="45" spans="1:115" ht="14.25" customHeight="1" outlineLevel="1" x14ac:dyDescent="0.4">
      <c r="A45" s="94"/>
      <c r="B45" s="95" t="s">
        <v>90</v>
      </c>
      <c r="C45" s="88">
        <f t="shared" si="107"/>
        <v>170878692.5999997</v>
      </c>
      <c r="D45" s="44"/>
      <c r="E45" s="44"/>
      <c r="F45" s="95"/>
      <c r="G45" s="95"/>
      <c r="H45" s="95"/>
      <c r="I45" s="87"/>
      <c r="J45" s="87"/>
      <c r="K45" s="87"/>
      <c r="L45" s="87"/>
      <c r="M45" s="87"/>
      <c r="N45" s="87"/>
      <c r="O45" s="87"/>
      <c r="P45" s="87"/>
      <c r="Q45" s="89">
        <f t="shared" si="108"/>
        <v>0</v>
      </c>
      <c r="R45" s="87"/>
      <c r="S45" s="87"/>
      <c r="T45" s="87"/>
      <c r="U45" s="87"/>
      <c r="V45" s="87"/>
      <c r="W45" s="87"/>
      <c r="X45" s="87"/>
      <c r="Y45" s="87"/>
      <c r="Z45" s="87"/>
      <c r="AA45" s="87"/>
      <c r="AB45" s="87"/>
      <c r="AC45" s="87"/>
      <c r="AD45" s="89">
        <f t="shared" si="228"/>
        <v>0</v>
      </c>
      <c r="AE45" s="87">
        <f>AC45</f>
        <v>0</v>
      </c>
      <c r="AF45" s="44">
        <f t="shared" ref="AF45:AP45" si="270">AE45</f>
        <v>0</v>
      </c>
      <c r="AG45" s="44">
        <f t="shared" si="270"/>
        <v>0</v>
      </c>
      <c r="AH45" s="44">
        <f t="shared" si="270"/>
        <v>0</v>
      </c>
      <c r="AI45" s="44">
        <f t="shared" si="270"/>
        <v>0</v>
      </c>
      <c r="AJ45" s="87">
        <f>'JV 1B  Wells 95%WI'!$B$25*5</f>
        <v>3106885.3199999994</v>
      </c>
      <c r="AK45" s="44">
        <f t="shared" si="270"/>
        <v>3106885.3199999994</v>
      </c>
      <c r="AL45" s="44">
        <f t="shared" si="270"/>
        <v>3106885.3199999994</v>
      </c>
      <c r="AM45" s="44">
        <f t="shared" si="270"/>
        <v>3106885.3199999994</v>
      </c>
      <c r="AN45" s="44">
        <f t="shared" si="270"/>
        <v>3106885.3199999994</v>
      </c>
      <c r="AO45" s="44">
        <f t="shared" si="270"/>
        <v>3106885.3199999994</v>
      </c>
      <c r="AP45" s="44">
        <f t="shared" si="270"/>
        <v>3106885.3199999994</v>
      </c>
      <c r="AQ45" s="89">
        <f t="shared" si="112"/>
        <v>21748197.239999998</v>
      </c>
      <c r="AR45" s="87">
        <f t="shared" si="266"/>
        <v>3106885.3199999994</v>
      </c>
      <c r="AS45" s="87">
        <f t="shared" si="234"/>
        <v>3106885.3199999994</v>
      </c>
      <c r="AT45" s="87">
        <f t="shared" si="250"/>
        <v>3106885.3199999994</v>
      </c>
      <c r="AU45" s="87">
        <f t="shared" si="239"/>
        <v>3106885.3199999994</v>
      </c>
      <c r="AV45" s="87">
        <f t="shared" si="239"/>
        <v>3106885.3199999994</v>
      </c>
      <c r="AW45" s="87">
        <f t="shared" si="239"/>
        <v>3106885.3199999994</v>
      </c>
      <c r="AX45" s="87">
        <f t="shared" si="239"/>
        <v>3106885.3199999994</v>
      </c>
      <c r="AY45" s="87">
        <f t="shared" si="239"/>
        <v>3106885.3199999994</v>
      </c>
      <c r="AZ45" s="87">
        <f t="shared" si="239"/>
        <v>3106885.3199999994</v>
      </c>
      <c r="BA45" s="87">
        <f t="shared" si="239"/>
        <v>3106885.3199999994</v>
      </c>
      <c r="BB45" s="87">
        <f t="shared" si="239"/>
        <v>3106885.3199999994</v>
      </c>
      <c r="BC45" s="87">
        <f t="shared" si="251"/>
        <v>3106885.3199999994</v>
      </c>
      <c r="BD45" s="89">
        <f t="shared" si="113"/>
        <v>37282623.839999996</v>
      </c>
      <c r="BE45" s="87">
        <f t="shared" si="240"/>
        <v>3106885.3199999994</v>
      </c>
      <c r="BF45" s="87">
        <f t="shared" si="241"/>
        <v>3106885.3199999994</v>
      </c>
      <c r="BG45" s="87">
        <f t="shared" ref="BG45:BP45" si="271">BE45</f>
        <v>3106885.3199999994</v>
      </c>
      <c r="BH45" s="87">
        <f t="shared" si="271"/>
        <v>3106885.3199999994</v>
      </c>
      <c r="BI45" s="87">
        <f t="shared" si="271"/>
        <v>3106885.3199999994</v>
      </c>
      <c r="BJ45" s="87">
        <f t="shared" si="271"/>
        <v>3106885.3199999994</v>
      </c>
      <c r="BK45" s="87">
        <f t="shared" si="271"/>
        <v>3106885.3199999994</v>
      </c>
      <c r="BL45" s="87">
        <f t="shared" si="271"/>
        <v>3106885.3199999994</v>
      </c>
      <c r="BM45" s="87">
        <f t="shared" si="271"/>
        <v>3106885.3199999994</v>
      </c>
      <c r="BN45" s="87">
        <f t="shared" si="271"/>
        <v>3106885.3199999994</v>
      </c>
      <c r="BO45" s="87">
        <f t="shared" si="271"/>
        <v>3106885.3199999994</v>
      </c>
      <c r="BP45" s="87">
        <f t="shared" si="271"/>
        <v>3106885.3199999994</v>
      </c>
      <c r="BQ45" s="89">
        <f t="shared" si="114"/>
        <v>37282623.839999996</v>
      </c>
      <c r="BR45" s="87">
        <f t="shared" si="243"/>
        <v>3106885.3199999994</v>
      </c>
      <c r="BS45" s="87">
        <f t="shared" si="244"/>
        <v>3106885.3199999994</v>
      </c>
      <c r="BT45" s="87">
        <f t="shared" ref="BT45:CC45" si="272">BS45</f>
        <v>3106885.3199999994</v>
      </c>
      <c r="BU45" s="87">
        <f t="shared" si="272"/>
        <v>3106885.3199999994</v>
      </c>
      <c r="BV45" s="87">
        <f t="shared" si="272"/>
        <v>3106885.3199999994</v>
      </c>
      <c r="BW45" s="87">
        <f t="shared" si="272"/>
        <v>3106885.3199999994</v>
      </c>
      <c r="BX45" s="87">
        <f t="shared" si="272"/>
        <v>3106885.3199999994</v>
      </c>
      <c r="BY45" s="87">
        <f t="shared" si="272"/>
        <v>3106885.3199999994</v>
      </c>
      <c r="BZ45" s="87">
        <f t="shared" si="272"/>
        <v>3106885.3199999994</v>
      </c>
      <c r="CA45" s="87">
        <f t="shared" si="272"/>
        <v>3106885.3199999994</v>
      </c>
      <c r="CB45" s="87">
        <f t="shared" si="272"/>
        <v>3106885.3199999994</v>
      </c>
      <c r="CC45" s="87">
        <f t="shared" si="272"/>
        <v>3106885.3199999994</v>
      </c>
      <c r="CD45" s="89">
        <f t="shared" si="116"/>
        <v>37282623.839999996</v>
      </c>
      <c r="CE45" s="87">
        <f t="shared" si="246"/>
        <v>3106885.3199999994</v>
      </c>
      <c r="CF45" s="87">
        <f t="shared" si="247"/>
        <v>3106885.3199999994</v>
      </c>
      <c r="CG45" s="87">
        <f t="shared" ref="CG45:CP45" si="273">CF45</f>
        <v>3106885.3199999994</v>
      </c>
      <c r="CH45" s="87">
        <f t="shared" si="273"/>
        <v>3106885.3199999994</v>
      </c>
      <c r="CI45" s="87">
        <f t="shared" si="273"/>
        <v>3106885.3199999994</v>
      </c>
      <c r="CJ45" s="87">
        <f t="shared" si="273"/>
        <v>3106885.3199999994</v>
      </c>
      <c r="CK45" s="87">
        <f t="shared" si="273"/>
        <v>3106885.3199999994</v>
      </c>
      <c r="CL45" s="87">
        <f t="shared" si="273"/>
        <v>3106885.3199999994</v>
      </c>
      <c r="CM45" s="87">
        <f t="shared" si="273"/>
        <v>3106885.3199999994</v>
      </c>
      <c r="CN45" s="87">
        <f t="shared" si="273"/>
        <v>3106885.3199999994</v>
      </c>
      <c r="CO45" s="87">
        <f t="shared" si="273"/>
        <v>3106885.3199999994</v>
      </c>
      <c r="CP45" s="38">
        <f t="shared" si="273"/>
        <v>3106885.3199999994</v>
      </c>
      <c r="CQ45" s="88">
        <f t="shared" si="118"/>
        <v>37282623.839999996</v>
      </c>
      <c r="CR45" s="95"/>
      <c r="CS45" s="95"/>
      <c r="CT45" s="95"/>
      <c r="CU45" s="95"/>
      <c r="CV45" s="95"/>
      <c r="CW45" s="95"/>
      <c r="CX45" s="95"/>
      <c r="CY45" s="95"/>
      <c r="CZ45" s="95"/>
      <c r="DA45" s="95"/>
      <c r="DB45" s="95"/>
      <c r="DC45" s="95"/>
      <c r="DD45" s="95"/>
      <c r="DE45" s="95"/>
      <c r="DF45" s="95"/>
      <c r="DG45" s="95"/>
      <c r="DH45" s="95"/>
      <c r="DI45" s="95"/>
      <c r="DJ45" s="95"/>
      <c r="DK45" s="95"/>
    </row>
    <row r="46" spans="1:115" ht="14.25" customHeight="1" outlineLevel="1" thickBot="1" x14ac:dyDescent="0.45">
      <c r="A46" s="94">
        <v>7</v>
      </c>
      <c r="B46" s="88" t="s">
        <v>91</v>
      </c>
      <c r="C46" s="597">
        <f t="shared" si="107"/>
        <v>5937449.376000002</v>
      </c>
      <c r="D46" s="96"/>
      <c r="E46" s="96">
        <f t="shared" ref="E46:AP46" si="274">-(E64+E68+E70+E72+E74+E76+E78+E80+E82+E83)*0.05</f>
        <v>0</v>
      </c>
      <c r="F46" s="96">
        <f t="shared" si="274"/>
        <v>0</v>
      </c>
      <c r="G46" s="96">
        <f t="shared" si="274"/>
        <v>0</v>
      </c>
      <c r="H46" s="96">
        <f t="shared" si="274"/>
        <v>0</v>
      </c>
      <c r="I46" s="96">
        <f t="shared" si="274"/>
        <v>371090.58600000007</v>
      </c>
      <c r="J46" s="96">
        <f t="shared" si="274"/>
        <v>0</v>
      </c>
      <c r="K46" s="96">
        <f t="shared" si="274"/>
        <v>0</v>
      </c>
      <c r="L46" s="96">
        <f t="shared" si="274"/>
        <v>0</v>
      </c>
      <c r="M46" s="96">
        <f t="shared" si="274"/>
        <v>0</v>
      </c>
      <c r="N46" s="96">
        <f t="shared" si="274"/>
        <v>618484.31000000006</v>
      </c>
      <c r="O46" s="96">
        <f t="shared" si="274"/>
        <v>0</v>
      </c>
      <c r="P46" s="96">
        <f t="shared" si="274"/>
        <v>618484.31000000006</v>
      </c>
      <c r="Q46" s="96">
        <f t="shared" si="274"/>
        <v>1608059.2060000002</v>
      </c>
      <c r="R46" s="96">
        <f t="shared" si="274"/>
        <v>0</v>
      </c>
      <c r="S46" s="96">
        <f t="shared" si="274"/>
        <v>618484.31000000006</v>
      </c>
      <c r="T46" s="96">
        <f t="shared" si="274"/>
        <v>0</v>
      </c>
      <c r="U46" s="96">
        <f t="shared" si="274"/>
        <v>618484.31000000006</v>
      </c>
      <c r="V46" s="96">
        <f t="shared" si="274"/>
        <v>0</v>
      </c>
      <c r="W46" s="96">
        <f t="shared" si="274"/>
        <v>618484.31000000006</v>
      </c>
      <c r="X46" s="96">
        <f t="shared" si="274"/>
        <v>0</v>
      </c>
      <c r="Y46" s="96">
        <f t="shared" si="274"/>
        <v>618484.31000000006</v>
      </c>
      <c r="Z46" s="96">
        <f t="shared" si="274"/>
        <v>0</v>
      </c>
      <c r="AA46" s="96">
        <f t="shared" si="274"/>
        <v>618484.31000000006</v>
      </c>
      <c r="AB46" s="96">
        <f t="shared" si="274"/>
        <v>0</v>
      </c>
      <c r="AC46" s="96">
        <f t="shared" si="274"/>
        <v>618484.31000000006</v>
      </c>
      <c r="AD46" s="96">
        <f t="shared" ref="AD46" si="275">-(AD64+AD68+AD70+AD72+AD74+AD76+AD78+AD80+AD82+AD83)*0.05</f>
        <v>5566358.790000001</v>
      </c>
      <c r="AE46" s="96">
        <f t="shared" si="274"/>
        <v>618484.31000000006</v>
      </c>
      <c r="AF46" s="96">
        <f t="shared" si="274"/>
        <v>0</v>
      </c>
      <c r="AG46" s="96">
        <f t="shared" si="274"/>
        <v>0</v>
      </c>
      <c r="AH46" s="96">
        <f t="shared" si="274"/>
        <v>0</v>
      </c>
      <c r="AI46" s="96">
        <f t="shared" si="274"/>
        <v>0</v>
      </c>
      <c r="AJ46" s="96">
        <f t="shared" si="274"/>
        <v>0</v>
      </c>
      <c r="AK46" s="96">
        <f t="shared" si="274"/>
        <v>0</v>
      </c>
      <c r="AL46" s="96">
        <f t="shared" si="274"/>
        <v>0</v>
      </c>
      <c r="AM46" s="96">
        <f t="shared" si="274"/>
        <v>0</v>
      </c>
      <c r="AN46" s="96">
        <f t="shared" si="274"/>
        <v>0</v>
      </c>
      <c r="AO46" s="96">
        <f t="shared" si="274"/>
        <v>0</v>
      </c>
      <c r="AP46" s="96">
        <f t="shared" si="274"/>
        <v>0</v>
      </c>
      <c r="AQ46" s="558">
        <f t="shared" si="112"/>
        <v>618484.31000000006</v>
      </c>
      <c r="AR46" s="96">
        <f>-(AR64+AR68+AR70+AR72+AR74+AR76+AR78+AR80+AR82+AR83)*0.05</f>
        <v>0</v>
      </c>
      <c r="AS46" s="96">
        <f t="shared" ref="AS46:AY46" si="276">-(AS64+AS68+AS70+AS72+AS74+AS76+AS78+AS80+AS82+AS83)*0.05</f>
        <v>0</v>
      </c>
      <c r="AT46" s="96">
        <f t="shared" si="276"/>
        <v>0</v>
      </c>
      <c r="AU46" s="96">
        <f t="shared" si="276"/>
        <v>0</v>
      </c>
      <c r="AV46" s="96">
        <f t="shared" si="276"/>
        <v>0</v>
      </c>
      <c r="AW46" s="96">
        <f t="shared" si="276"/>
        <v>0</v>
      </c>
      <c r="AX46" s="96">
        <f t="shared" si="276"/>
        <v>0</v>
      </c>
      <c r="AY46" s="96">
        <f t="shared" si="276"/>
        <v>0</v>
      </c>
      <c r="AZ46" s="96">
        <f>-(AZ64+AZ68+AZ70+AZ72+AZ74+AZ76+AZ78+AZ5+AZ81+AZ82)*0.05</f>
        <v>0</v>
      </c>
      <c r="BA46" s="96">
        <f>-(BA64+BA68+BA70+BA72+BA74+BA76+BA78+BA5+BA81+BA82)*0.05</f>
        <v>0</v>
      </c>
      <c r="BB46" s="96">
        <f>-(BB64+BB68+BB70+BB72+BB74+BB76+BB78+BB5+BB81+BB82)*0.05</f>
        <v>0</v>
      </c>
      <c r="BC46" s="96">
        <f>-(BC64+BC68+BC70+BC72+BC74+BC76+BC78+BC5+BC81+BC82)*0.05</f>
        <v>0</v>
      </c>
      <c r="BD46" s="558">
        <f t="shared" si="113"/>
        <v>0</v>
      </c>
      <c r="BE46" s="96">
        <f t="shared" ref="BE46:CC46" si="277">-(BE64+BE68+BE70+BE72+BE74+BE76+BE78+BE5+BE81+BE82)*0.05</f>
        <v>0</v>
      </c>
      <c r="BF46" s="96">
        <f t="shared" si="277"/>
        <v>0</v>
      </c>
      <c r="BG46" s="96">
        <f t="shared" si="277"/>
        <v>0</v>
      </c>
      <c r="BH46" s="96">
        <f t="shared" si="277"/>
        <v>0</v>
      </c>
      <c r="BI46" s="96">
        <f t="shared" si="277"/>
        <v>0</v>
      </c>
      <c r="BJ46" s="96">
        <f t="shared" si="277"/>
        <v>0</v>
      </c>
      <c r="BK46" s="96">
        <f t="shared" si="277"/>
        <v>0</v>
      </c>
      <c r="BL46" s="96">
        <f t="shared" si="277"/>
        <v>0</v>
      </c>
      <c r="BM46" s="96">
        <f t="shared" si="277"/>
        <v>0</v>
      </c>
      <c r="BN46" s="96">
        <f t="shared" si="277"/>
        <v>0</v>
      </c>
      <c r="BO46" s="96">
        <f t="shared" si="277"/>
        <v>0</v>
      </c>
      <c r="BP46" s="96">
        <f t="shared" si="277"/>
        <v>0</v>
      </c>
      <c r="BQ46" s="558">
        <f t="shared" si="277"/>
        <v>0</v>
      </c>
      <c r="BR46" s="96">
        <f t="shared" si="277"/>
        <v>0</v>
      </c>
      <c r="BS46" s="96">
        <f t="shared" si="277"/>
        <v>0</v>
      </c>
      <c r="BT46" s="96">
        <f t="shared" si="277"/>
        <v>0</v>
      </c>
      <c r="BU46" s="96">
        <f t="shared" si="277"/>
        <v>0</v>
      </c>
      <c r="BV46" s="96">
        <f t="shared" si="277"/>
        <v>0</v>
      </c>
      <c r="BW46" s="96">
        <f t="shared" si="277"/>
        <v>0</v>
      </c>
      <c r="BX46" s="96">
        <f t="shared" si="277"/>
        <v>0</v>
      </c>
      <c r="BY46" s="96">
        <f t="shared" si="277"/>
        <v>0</v>
      </c>
      <c r="BZ46" s="96">
        <f t="shared" si="277"/>
        <v>0</v>
      </c>
      <c r="CA46" s="96">
        <f t="shared" si="277"/>
        <v>0</v>
      </c>
      <c r="CB46" s="96">
        <f t="shared" si="277"/>
        <v>0</v>
      </c>
      <c r="CC46" s="96">
        <f t="shared" si="277"/>
        <v>0</v>
      </c>
      <c r="CD46" s="558">
        <f t="shared" si="116"/>
        <v>0</v>
      </c>
      <c r="CE46" s="96">
        <f t="shared" ref="CE46:CP46" si="278">-(CE64+CE68+CE70+CE72+CE74+CE76+CE78+CE5+CE81+CE82)*0.05</f>
        <v>0</v>
      </c>
      <c r="CF46" s="96">
        <f t="shared" si="278"/>
        <v>0</v>
      </c>
      <c r="CG46" s="96">
        <f t="shared" si="278"/>
        <v>0</v>
      </c>
      <c r="CH46" s="96">
        <f t="shared" si="278"/>
        <v>0</v>
      </c>
      <c r="CI46" s="96">
        <f t="shared" si="278"/>
        <v>0</v>
      </c>
      <c r="CJ46" s="96">
        <f t="shared" si="278"/>
        <v>0</v>
      </c>
      <c r="CK46" s="96">
        <f t="shared" si="278"/>
        <v>0</v>
      </c>
      <c r="CL46" s="96">
        <f t="shared" si="278"/>
        <v>0</v>
      </c>
      <c r="CM46" s="96">
        <f t="shared" si="278"/>
        <v>0</v>
      </c>
      <c r="CN46" s="96">
        <f t="shared" si="278"/>
        <v>0</v>
      </c>
      <c r="CO46" s="96">
        <f t="shared" si="278"/>
        <v>0</v>
      </c>
      <c r="CP46" s="253">
        <f t="shared" si="278"/>
        <v>0</v>
      </c>
      <c r="CQ46" s="96">
        <f t="shared" si="118"/>
        <v>0</v>
      </c>
      <c r="CR46" s="88"/>
      <c r="CS46" s="88"/>
      <c r="CT46" s="88"/>
      <c r="CU46" s="88"/>
      <c r="CV46" s="88"/>
      <c r="CW46" s="88"/>
      <c r="CX46" s="88"/>
      <c r="CY46" s="88"/>
      <c r="CZ46" s="88"/>
      <c r="DA46" s="88"/>
      <c r="DB46" s="88"/>
      <c r="DC46" s="88"/>
      <c r="DD46" s="88"/>
      <c r="DE46" s="88"/>
      <c r="DF46" s="88"/>
      <c r="DG46" s="88"/>
      <c r="DH46" s="88"/>
      <c r="DI46" s="88"/>
      <c r="DJ46" s="88"/>
      <c r="DK46" s="88"/>
    </row>
    <row r="47" spans="1:115" ht="14.25" customHeight="1" thickBot="1" x14ac:dyDescent="0.45">
      <c r="A47" s="94"/>
      <c r="B47" s="97" t="s">
        <v>549</v>
      </c>
      <c r="C47" s="86">
        <f>D48+D106</f>
        <v>7478168238.1367979</v>
      </c>
      <c r="D47" s="92">
        <f>SUM(C22:C24)</f>
        <v>8343904217.8182888</v>
      </c>
      <c r="E47" s="92">
        <f t="shared" ref="E47:BP47" si="279">SUM(E22:E24)</f>
        <v>0</v>
      </c>
      <c r="F47" s="92">
        <f t="shared" si="279"/>
        <v>0</v>
      </c>
      <c r="G47" s="92">
        <f t="shared" si="279"/>
        <v>0</v>
      </c>
      <c r="H47" s="92">
        <f t="shared" si="279"/>
        <v>0</v>
      </c>
      <c r="I47" s="92">
        <f t="shared" si="279"/>
        <v>371090.58600000007</v>
      </c>
      <c r="J47" s="92">
        <f t="shared" si="279"/>
        <v>0</v>
      </c>
      <c r="K47" s="92">
        <f t="shared" si="279"/>
        <v>654081.12</v>
      </c>
      <c r="L47" s="92">
        <f t="shared" si="279"/>
        <v>2086615.7834439524</v>
      </c>
      <c r="M47" s="92">
        <f t="shared" si="279"/>
        <v>3067737.4634439521</v>
      </c>
      <c r="N47" s="92">
        <f t="shared" si="279"/>
        <v>5835023.7686098814</v>
      </c>
      <c r="O47" s="92">
        <f t="shared" si="279"/>
        <v>6851742.2586098807</v>
      </c>
      <c r="P47" s="92">
        <f t="shared" si="279"/>
        <v>11051563.227219762</v>
      </c>
      <c r="Q47" s="116">
        <f t="shared" si="279"/>
        <v>29917854.207327425</v>
      </c>
      <c r="R47" s="92">
        <f t="shared" si="279"/>
        <v>10433078.917219762</v>
      </c>
      <c r="S47" s="92">
        <f t="shared" si="279"/>
        <v>14321968.827219762</v>
      </c>
      <c r="T47" s="92">
        <f t="shared" si="279"/>
        <v>20555226.775829643</v>
      </c>
      <c r="U47" s="92">
        <f t="shared" si="279"/>
        <v>27861933.06443952</v>
      </c>
      <c r="V47" s="92">
        <f t="shared" si="279"/>
        <v>34095191.013049401</v>
      </c>
      <c r="W47" s="92">
        <f t="shared" si="279"/>
        <v>41401897.301659279</v>
      </c>
      <c r="X47" s="92">
        <f t="shared" si="279"/>
        <v>47635155.25026916</v>
      </c>
      <c r="Y47" s="92">
        <f t="shared" si="279"/>
        <v>54941861.538879044</v>
      </c>
      <c r="Z47" s="92">
        <f t="shared" si="279"/>
        <v>61175119.487488925</v>
      </c>
      <c r="AA47" s="92">
        <f t="shared" si="279"/>
        <v>68481825.776098818</v>
      </c>
      <c r="AB47" s="92">
        <f t="shared" si="279"/>
        <v>74715083.724708691</v>
      </c>
      <c r="AC47" s="92">
        <f t="shared" si="279"/>
        <v>82021790.013318568</v>
      </c>
      <c r="AD47" s="116">
        <f t="shared" si="279"/>
        <v>537640131.69018054</v>
      </c>
      <c r="AE47" s="92">
        <f t="shared" si="279"/>
        <v>88873532.271928459</v>
      </c>
      <c r="AF47" s="92">
        <f t="shared" si="279"/>
        <v>116992265.26053834</v>
      </c>
      <c r="AG47" s="92">
        <f t="shared" si="279"/>
        <v>104385094.19914822</v>
      </c>
      <c r="AH47" s="92">
        <f t="shared" si="279"/>
        <v>111236836.4577581</v>
      </c>
      <c r="AI47" s="92">
        <f t="shared" si="279"/>
        <v>117925058.43636799</v>
      </c>
      <c r="AJ47" s="92">
        <f t="shared" si="279"/>
        <v>124613280.41497788</v>
      </c>
      <c r="AK47" s="92">
        <f t="shared" si="279"/>
        <v>128194617.07358775</v>
      </c>
      <c r="AL47" s="92">
        <f t="shared" si="279"/>
        <v>131775953.73219764</v>
      </c>
      <c r="AM47" s="92">
        <f t="shared" si="279"/>
        <v>131775953.73219764</v>
      </c>
      <c r="AN47" s="92">
        <f t="shared" si="279"/>
        <v>131775953.73219764</v>
      </c>
      <c r="AO47" s="92">
        <f t="shared" si="279"/>
        <v>131775953.73219764</v>
      </c>
      <c r="AP47" s="92">
        <f t="shared" si="279"/>
        <v>131775953.73219764</v>
      </c>
      <c r="AQ47" s="116">
        <f t="shared" si="279"/>
        <v>1451100452.775295</v>
      </c>
      <c r="AR47" s="92">
        <f t="shared" si="279"/>
        <v>131775953.73219764</v>
      </c>
      <c r="AS47" s="92">
        <f t="shared" si="279"/>
        <v>131775953.73219764</v>
      </c>
      <c r="AT47" s="92">
        <f t="shared" si="279"/>
        <v>131775953.73219764</v>
      </c>
      <c r="AU47" s="92">
        <f t="shared" si="279"/>
        <v>131775953.73219764</v>
      </c>
      <c r="AV47" s="92">
        <f t="shared" si="279"/>
        <v>131775953.73219764</v>
      </c>
      <c r="AW47" s="92">
        <f t="shared" si="279"/>
        <v>131775953.73219764</v>
      </c>
      <c r="AX47" s="92">
        <f t="shared" si="279"/>
        <v>131775953.73219764</v>
      </c>
      <c r="AY47" s="92">
        <f t="shared" si="279"/>
        <v>131775953.73219764</v>
      </c>
      <c r="AZ47" s="92">
        <f t="shared" si="279"/>
        <v>131775953.73219764</v>
      </c>
      <c r="BA47" s="92">
        <f t="shared" si="279"/>
        <v>131775953.73219764</v>
      </c>
      <c r="BB47" s="92">
        <f t="shared" si="279"/>
        <v>131775953.73219764</v>
      </c>
      <c r="BC47" s="92">
        <f t="shared" si="279"/>
        <v>131775953.73219764</v>
      </c>
      <c r="BD47" s="116">
        <f t="shared" si="279"/>
        <v>1581311444.7863717</v>
      </c>
      <c r="BE47" s="92">
        <f t="shared" si="279"/>
        <v>131775953.73219764</v>
      </c>
      <c r="BF47" s="92">
        <f t="shared" si="279"/>
        <v>131775953.73219764</v>
      </c>
      <c r="BG47" s="92">
        <f t="shared" si="279"/>
        <v>131775953.73219764</v>
      </c>
      <c r="BH47" s="92">
        <f t="shared" si="279"/>
        <v>131775953.73219764</v>
      </c>
      <c r="BI47" s="92">
        <f t="shared" si="279"/>
        <v>131775953.73219764</v>
      </c>
      <c r="BJ47" s="92">
        <f t="shared" si="279"/>
        <v>131775953.73219764</v>
      </c>
      <c r="BK47" s="92">
        <f t="shared" si="279"/>
        <v>131775953.73219764</v>
      </c>
      <c r="BL47" s="92">
        <f t="shared" si="279"/>
        <v>131775953.73219764</v>
      </c>
      <c r="BM47" s="92">
        <f t="shared" si="279"/>
        <v>131775953.73219764</v>
      </c>
      <c r="BN47" s="92">
        <f t="shared" si="279"/>
        <v>131775953.73219764</v>
      </c>
      <c r="BO47" s="92">
        <f t="shared" si="279"/>
        <v>131775953.73219764</v>
      </c>
      <c r="BP47" s="92">
        <f t="shared" si="279"/>
        <v>131775953.73219764</v>
      </c>
      <c r="BQ47" s="116">
        <f>SUM(BE47:BP47)</f>
        <v>1581311444.7863722</v>
      </c>
      <c r="BR47" s="92">
        <f t="shared" ref="BR47:CC47" si="280">SUM(BR22:BR24)</f>
        <v>131775953.73219764</v>
      </c>
      <c r="BS47" s="92">
        <f t="shared" si="280"/>
        <v>131775953.73219764</v>
      </c>
      <c r="BT47" s="92">
        <f t="shared" si="280"/>
        <v>131775953.73219764</v>
      </c>
      <c r="BU47" s="92">
        <f t="shared" si="280"/>
        <v>131775953.73219764</v>
      </c>
      <c r="BV47" s="92">
        <f t="shared" si="280"/>
        <v>131775953.73219764</v>
      </c>
      <c r="BW47" s="92">
        <f t="shared" si="280"/>
        <v>131775953.73219764</v>
      </c>
      <c r="BX47" s="92">
        <f t="shared" si="280"/>
        <v>131775953.73219764</v>
      </c>
      <c r="BY47" s="92">
        <f t="shared" si="280"/>
        <v>131775953.73219764</v>
      </c>
      <c r="BZ47" s="92">
        <f t="shared" si="280"/>
        <v>131775953.73219764</v>
      </c>
      <c r="CA47" s="92">
        <f t="shared" si="280"/>
        <v>131775953.73219764</v>
      </c>
      <c r="CB47" s="92">
        <f t="shared" si="280"/>
        <v>131775953.73219764</v>
      </c>
      <c r="CC47" s="92">
        <f t="shared" si="280"/>
        <v>131775953.73219764</v>
      </c>
      <c r="CD47" s="116">
        <f t="shared" si="116"/>
        <v>1581311444.7863722</v>
      </c>
      <c r="CE47" s="92">
        <f t="shared" ref="CE47:CP47" si="281">SUM(CE22:CE24)</f>
        <v>131775953.73219764</v>
      </c>
      <c r="CF47" s="92">
        <f t="shared" si="281"/>
        <v>131775953.73219764</v>
      </c>
      <c r="CG47" s="92">
        <f t="shared" si="281"/>
        <v>131775953.73219764</v>
      </c>
      <c r="CH47" s="92">
        <f t="shared" si="281"/>
        <v>131775953.73219764</v>
      </c>
      <c r="CI47" s="92">
        <f t="shared" si="281"/>
        <v>131775953.73219764</v>
      </c>
      <c r="CJ47" s="92">
        <f t="shared" si="281"/>
        <v>131775953.73219764</v>
      </c>
      <c r="CK47" s="92">
        <f t="shared" si="281"/>
        <v>131775953.73219764</v>
      </c>
      <c r="CL47" s="92">
        <f t="shared" si="281"/>
        <v>131775953.73219764</v>
      </c>
      <c r="CM47" s="92">
        <f t="shared" si="281"/>
        <v>131775953.73219764</v>
      </c>
      <c r="CN47" s="92">
        <f t="shared" si="281"/>
        <v>131775953.73219764</v>
      </c>
      <c r="CO47" s="92">
        <f t="shared" si="281"/>
        <v>131775953.73219764</v>
      </c>
      <c r="CP47" s="110">
        <f t="shared" si="281"/>
        <v>131775953.73219764</v>
      </c>
      <c r="CQ47" s="92">
        <f t="shared" si="118"/>
        <v>1581311444.7863722</v>
      </c>
      <c r="CR47" s="95"/>
      <c r="CS47" s="95"/>
      <c r="CT47" s="95"/>
      <c r="CU47" s="95"/>
      <c r="CV47" s="95"/>
      <c r="CW47" s="95"/>
      <c r="CX47" s="95"/>
      <c r="CY47" s="95"/>
      <c r="CZ47" s="95"/>
      <c r="DA47" s="95"/>
      <c r="DB47" s="95"/>
      <c r="DC47" s="95"/>
      <c r="DD47" s="95"/>
      <c r="DE47" s="95"/>
      <c r="DF47" s="95"/>
      <c r="DG47" s="95"/>
      <c r="DH47" s="95"/>
      <c r="DI47" s="95"/>
      <c r="DJ47" s="95"/>
      <c r="DK47" s="95"/>
    </row>
    <row r="48" spans="1:115" ht="14.25" customHeight="1" x14ac:dyDescent="0.4">
      <c r="A48" s="94"/>
      <c r="B48" s="91" t="s">
        <v>92</v>
      </c>
      <c r="C48" s="86"/>
      <c r="D48" s="86">
        <f>C20+C21+D47</f>
        <v>8898904217.8182888</v>
      </c>
      <c r="E48" s="86">
        <f t="shared" ref="E48:CQ48" si="282">E20+E21+E47</f>
        <v>205000000</v>
      </c>
      <c r="F48" s="86">
        <f t="shared" si="282"/>
        <v>0</v>
      </c>
      <c r="G48" s="86">
        <f>G20+G21+G47</f>
        <v>175000000</v>
      </c>
      <c r="H48" s="86">
        <f t="shared" si="282"/>
        <v>20000000</v>
      </c>
      <c r="I48" s="86">
        <f>I20+I21+I47</f>
        <v>30371090.585999999</v>
      </c>
      <c r="J48" s="86">
        <f t="shared" si="282"/>
        <v>0</v>
      </c>
      <c r="K48" s="86">
        <f t="shared" si="282"/>
        <v>25654081.120000001</v>
      </c>
      <c r="L48" s="86">
        <f t="shared" si="282"/>
        <v>22086615.783443954</v>
      </c>
      <c r="M48" s="86">
        <f t="shared" si="282"/>
        <v>23067737.463443954</v>
      </c>
      <c r="N48" s="86">
        <f t="shared" si="282"/>
        <v>25835023.768609881</v>
      </c>
      <c r="O48" s="86">
        <f t="shared" si="282"/>
        <v>26851742.25860988</v>
      </c>
      <c r="P48" s="86">
        <f t="shared" si="282"/>
        <v>31051563.22721976</v>
      </c>
      <c r="Q48" s="49">
        <f t="shared" si="282"/>
        <v>584917854.20732737</v>
      </c>
      <c r="R48" s="86">
        <f t="shared" si="282"/>
        <v>10433078.917219762</v>
      </c>
      <c r="S48" s="86">
        <f t="shared" si="282"/>
        <v>14321968.827219762</v>
      </c>
      <c r="T48" s="86">
        <f t="shared" si="282"/>
        <v>20555226.775829643</v>
      </c>
      <c r="U48" s="86">
        <f t="shared" si="282"/>
        <v>27861933.06443952</v>
      </c>
      <c r="V48" s="86">
        <f t="shared" si="282"/>
        <v>34095191.013049401</v>
      </c>
      <c r="W48" s="86">
        <f t="shared" si="282"/>
        <v>41401897.301659279</v>
      </c>
      <c r="X48" s="86">
        <f t="shared" si="282"/>
        <v>47635155.25026916</v>
      </c>
      <c r="Y48" s="86">
        <f t="shared" si="282"/>
        <v>54941861.538879044</v>
      </c>
      <c r="Z48" s="86">
        <f t="shared" si="282"/>
        <v>61175119.487488925</v>
      </c>
      <c r="AA48" s="86">
        <f t="shared" si="282"/>
        <v>68481825.776098818</v>
      </c>
      <c r="AB48" s="86">
        <f t="shared" si="282"/>
        <v>74715083.724708691</v>
      </c>
      <c r="AC48" s="86">
        <f t="shared" si="282"/>
        <v>82021790.013318568</v>
      </c>
      <c r="AD48" s="49">
        <f t="shared" si="282"/>
        <v>537640131.69018054</v>
      </c>
      <c r="AE48" s="86">
        <f t="shared" si="282"/>
        <v>88873532.271928459</v>
      </c>
      <c r="AF48" s="86">
        <f t="shared" si="282"/>
        <v>116992265.26053834</v>
      </c>
      <c r="AG48" s="86">
        <f t="shared" si="282"/>
        <v>104385094.19914822</v>
      </c>
      <c r="AH48" s="86">
        <f t="shared" si="282"/>
        <v>111236836.4577581</v>
      </c>
      <c r="AI48" s="86">
        <f t="shared" si="282"/>
        <v>117925058.43636799</v>
      </c>
      <c r="AJ48" s="86">
        <f t="shared" si="282"/>
        <v>124613280.41497788</v>
      </c>
      <c r="AK48" s="86">
        <f t="shared" si="282"/>
        <v>128194617.07358775</v>
      </c>
      <c r="AL48" s="86">
        <f t="shared" si="282"/>
        <v>131775953.73219764</v>
      </c>
      <c r="AM48" s="86">
        <f t="shared" si="282"/>
        <v>131775953.73219764</v>
      </c>
      <c r="AN48" s="86">
        <f t="shared" si="282"/>
        <v>131775953.73219764</v>
      </c>
      <c r="AO48" s="86">
        <f t="shared" si="282"/>
        <v>131775953.73219764</v>
      </c>
      <c r="AP48" s="86">
        <f t="shared" si="282"/>
        <v>131775953.73219764</v>
      </c>
      <c r="AQ48" s="49">
        <f t="shared" si="282"/>
        <v>1451100452.775295</v>
      </c>
      <c r="AR48" s="86">
        <f t="shared" si="282"/>
        <v>131775953.73219764</v>
      </c>
      <c r="AS48" s="86">
        <f t="shared" si="282"/>
        <v>131775953.73219764</v>
      </c>
      <c r="AT48" s="86">
        <f t="shared" si="282"/>
        <v>131775953.73219764</v>
      </c>
      <c r="AU48" s="86">
        <f t="shared" si="282"/>
        <v>131775953.73219764</v>
      </c>
      <c r="AV48" s="86">
        <f t="shared" si="282"/>
        <v>131775953.73219764</v>
      </c>
      <c r="AW48" s="86">
        <f t="shared" si="282"/>
        <v>131775953.73219764</v>
      </c>
      <c r="AX48" s="86">
        <f t="shared" si="282"/>
        <v>131775953.73219764</v>
      </c>
      <c r="AY48" s="86">
        <f t="shared" si="282"/>
        <v>131775953.73219764</v>
      </c>
      <c r="AZ48" s="86">
        <f t="shared" si="282"/>
        <v>131775953.73219764</v>
      </c>
      <c r="BA48" s="86">
        <f t="shared" si="282"/>
        <v>131775953.73219764</v>
      </c>
      <c r="BB48" s="86">
        <f t="shared" si="282"/>
        <v>131775953.73219764</v>
      </c>
      <c r="BC48" s="86">
        <f t="shared" si="282"/>
        <v>131775953.73219764</v>
      </c>
      <c r="BD48" s="49">
        <f t="shared" si="282"/>
        <v>1581311444.7863717</v>
      </c>
      <c r="BE48" s="86">
        <f t="shared" si="282"/>
        <v>131775953.73219764</v>
      </c>
      <c r="BF48" s="86">
        <f t="shared" si="282"/>
        <v>131775953.73219764</v>
      </c>
      <c r="BG48" s="86">
        <f t="shared" si="282"/>
        <v>131775953.73219764</v>
      </c>
      <c r="BH48" s="86">
        <f t="shared" si="282"/>
        <v>131775953.73219764</v>
      </c>
      <c r="BI48" s="86">
        <f t="shared" si="282"/>
        <v>131775953.73219764</v>
      </c>
      <c r="BJ48" s="86">
        <f t="shared" si="282"/>
        <v>131775953.73219764</v>
      </c>
      <c r="BK48" s="86">
        <f t="shared" si="282"/>
        <v>131775953.73219764</v>
      </c>
      <c r="BL48" s="86">
        <f t="shared" si="282"/>
        <v>131775953.73219764</v>
      </c>
      <c r="BM48" s="86">
        <f t="shared" si="282"/>
        <v>131775953.73219764</v>
      </c>
      <c r="BN48" s="86">
        <f t="shared" si="282"/>
        <v>131775953.73219764</v>
      </c>
      <c r="BO48" s="86">
        <f t="shared" si="282"/>
        <v>131775953.73219764</v>
      </c>
      <c r="BP48" s="86">
        <f t="shared" si="282"/>
        <v>131775953.73219764</v>
      </c>
      <c r="BQ48" s="49">
        <f t="shared" si="282"/>
        <v>1581311444.7863722</v>
      </c>
      <c r="BR48" s="86">
        <f t="shared" si="282"/>
        <v>131775953.73219764</v>
      </c>
      <c r="BS48" s="86">
        <f t="shared" si="282"/>
        <v>131775953.73219764</v>
      </c>
      <c r="BT48" s="86">
        <f t="shared" si="282"/>
        <v>131775953.73219764</v>
      </c>
      <c r="BU48" s="86">
        <f t="shared" si="282"/>
        <v>131775953.73219764</v>
      </c>
      <c r="BV48" s="86">
        <f t="shared" si="282"/>
        <v>131775953.73219764</v>
      </c>
      <c r="BW48" s="86">
        <f t="shared" si="282"/>
        <v>131775953.73219764</v>
      </c>
      <c r="BX48" s="86">
        <f t="shared" si="282"/>
        <v>131775953.73219764</v>
      </c>
      <c r="BY48" s="86">
        <f t="shared" si="282"/>
        <v>131775953.73219764</v>
      </c>
      <c r="BZ48" s="86">
        <f t="shared" si="282"/>
        <v>131775953.73219764</v>
      </c>
      <c r="CA48" s="86">
        <f t="shared" si="282"/>
        <v>131775953.73219764</v>
      </c>
      <c r="CB48" s="86">
        <f t="shared" si="282"/>
        <v>131775953.73219764</v>
      </c>
      <c r="CC48" s="86">
        <f t="shared" si="282"/>
        <v>131775953.73219764</v>
      </c>
      <c r="CD48" s="49">
        <f t="shared" si="282"/>
        <v>1581311444.7863722</v>
      </c>
      <c r="CE48" s="86">
        <f t="shared" si="282"/>
        <v>131775953.73219764</v>
      </c>
      <c r="CF48" s="86">
        <f t="shared" si="282"/>
        <v>131775953.73219764</v>
      </c>
      <c r="CG48" s="86">
        <f t="shared" si="282"/>
        <v>131775953.73219764</v>
      </c>
      <c r="CH48" s="86">
        <f t="shared" si="282"/>
        <v>131775953.73219764</v>
      </c>
      <c r="CI48" s="86">
        <f t="shared" si="282"/>
        <v>131775953.73219764</v>
      </c>
      <c r="CJ48" s="86">
        <f t="shared" si="282"/>
        <v>131775953.73219764</v>
      </c>
      <c r="CK48" s="86">
        <f t="shared" si="282"/>
        <v>131775953.73219764</v>
      </c>
      <c r="CL48" s="86">
        <f t="shared" si="282"/>
        <v>131775953.73219764</v>
      </c>
      <c r="CM48" s="86">
        <f t="shared" si="282"/>
        <v>131775953.73219764</v>
      </c>
      <c r="CN48" s="86">
        <f t="shared" si="282"/>
        <v>131775953.73219764</v>
      </c>
      <c r="CO48" s="86">
        <f t="shared" si="282"/>
        <v>131775953.73219764</v>
      </c>
      <c r="CP48" s="39">
        <f t="shared" si="282"/>
        <v>131775953.73219764</v>
      </c>
      <c r="CQ48" s="86">
        <f t="shared" si="282"/>
        <v>1581311444.7863722</v>
      </c>
      <c r="CR48" s="95"/>
      <c r="CS48" s="95"/>
      <c r="CT48" s="95"/>
      <c r="CU48" s="95"/>
      <c r="CV48" s="95"/>
      <c r="CW48" s="95"/>
      <c r="CX48" s="95"/>
      <c r="CY48" s="95"/>
      <c r="CZ48" s="95"/>
      <c r="DA48" s="95"/>
      <c r="DB48" s="95"/>
      <c r="DC48" s="95"/>
      <c r="DD48" s="95"/>
      <c r="DE48" s="95"/>
      <c r="DF48" s="95"/>
      <c r="DG48" s="95"/>
      <c r="DH48" s="95"/>
      <c r="DI48" s="95"/>
      <c r="DJ48" s="95"/>
      <c r="DK48" s="95"/>
    </row>
    <row r="49" spans="1:115" ht="14.25" customHeight="1" x14ac:dyDescent="0.4">
      <c r="A49" s="94"/>
      <c r="B49" s="91"/>
      <c r="C49" s="98"/>
      <c r="D49" s="44"/>
      <c r="E49" s="91"/>
      <c r="F49" s="95"/>
      <c r="G49" s="95"/>
      <c r="H49" s="95"/>
      <c r="I49" s="95"/>
      <c r="J49" s="95"/>
      <c r="K49" s="95"/>
      <c r="L49" s="87"/>
      <c r="M49" s="95"/>
      <c r="N49" s="95"/>
      <c r="O49" s="95"/>
      <c r="P49" s="99"/>
      <c r="Q49" s="24"/>
      <c r="R49" s="95"/>
      <c r="S49" s="95"/>
      <c r="T49" s="95"/>
      <c r="U49" s="95"/>
      <c r="V49" s="95"/>
      <c r="W49" s="95"/>
      <c r="X49" s="95"/>
      <c r="Y49" s="95"/>
      <c r="Z49" s="95"/>
      <c r="AA49" s="95"/>
      <c r="AB49" s="95"/>
      <c r="AC49" s="99"/>
      <c r="AD49" s="24"/>
      <c r="AE49" s="95"/>
      <c r="AF49" s="95"/>
      <c r="AG49" s="95"/>
      <c r="AH49" s="95"/>
      <c r="AI49" s="95"/>
      <c r="AJ49" s="95"/>
      <c r="AK49" s="95"/>
      <c r="AL49" s="95"/>
      <c r="AM49" s="95"/>
      <c r="AN49" s="95"/>
      <c r="AO49" s="95"/>
      <c r="AP49" s="95"/>
      <c r="AQ49" s="49"/>
      <c r="AR49" s="95"/>
      <c r="AS49" s="95"/>
      <c r="AT49" s="95"/>
      <c r="AU49" s="95"/>
      <c r="AV49" s="95"/>
      <c r="AW49" s="95"/>
      <c r="AX49" s="95"/>
      <c r="AY49" s="95"/>
      <c r="AZ49" s="95"/>
      <c r="BA49" s="95"/>
      <c r="BB49" s="95"/>
      <c r="BC49" s="95"/>
      <c r="BD49" s="24"/>
      <c r="BE49" s="95"/>
      <c r="BF49" s="95"/>
      <c r="BG49" s="95"/>
      <c r="BH49" s="95"/>
      <c r="BI49" s="95"/>
      <c r="BJ49" s="95"/>
      <c r="BK49" s="95"/>
      <c r="BL49" s="95"/>
      <c r="BM49" s="95"/>
      <c r="BN49" s="95"/>
      <c r="BO49" s="95"/>
      <c r="BP49" s="95"/>
      <c r="BQ49" s="24"/>
      <c r="BR49" s="95"/>
      <c r="BS49" s="99">
        <f>BS48*0.005</f>
        <v>658879.76866098819</v>
      </c>
      <c r="BT49" s="95"/>
      <c r="BU49" s="95"/>
      <c r="BV49" s="95"/>
      <c r="BW49" s="95"/>
      <c r="BX49" s="95"/>
      <c r="BY49" s="95"/>
      <c r="BZ49" s="95"/>
      <c r="CA49" s="95"/>
      <c r="CB49" s="95"/>
      <c r="CC49" s="95"/>
      <c r="CD49" s="24"/>
      <c r="CE49" s="95"/>
      <c r="CF49" s="95"/>
      <c r="CG49" s="95"/>
      <c r="CH49" s="95"/>
      <c r="CI49" s="95"/>
      <c r="CJ49" s="95"/>
      <c r="CK49" s="95"/>
      <c r="CL49" s="95"/>
      <c r="CM49" s="95"/>
      <c r="CN49" s="95"/>
      <c r="CO49" s="95"/>
      <c r="CP49" s="11"/>
      <c r="CQ49" s="86"/>
      <c r="CR49" s="95"/>
      <c r="CS49" s="95"/>
      <c r="CT49" s="95"/>
      <c r="CU49" s="95"/>
      <c r="CV49" s="95"/>
      <c r="CW49" s="95"/>
      <c r="CX49" s="95"/>
      <c r="CY49" s="95"/>
      <c r="CZ49" s="95"/>
      <c r="DA49" s="95"/>
      <c r="DB49" s="95"/>
      <c r="DC49" s="95"/>
      <c r="DD49" s="95"/>
      <c r="DE49" s="95"/>
      <c r="DF49" s="95"/>
      <c r="DG49" s="95"/>
      <c r="DH49" s="95"/>
      <c r="DI49" s="95"/>
      <c r="DJ49" s="95"/>
      <c r="DK49" s="95"/>
    </row>
    <row r="50" spans="1:115" ht="14.25" customHeight="1" x14ac:dyDescent="0.4">
      <c r="A50" s="100"/>
      <c r="B50" s="101" t="s">
        <v>93</v>
      </c>
      <c r="C50" s="84" t="s">
        <v>59</v>
      </c>
      <c r="D50" s="84"/>
      <c r="E50" s="84">
        <v>1</v>
      </c>
      <c r="F50" s="84">
        <v>2</v>
      </c>
      <c r="G50" s="84">
        <v>3</v>
      </c>
      <c r="H50" s="84">
        <v>4</v>
      </c>
      <c r="I50" s="84">
        <v>5</v>
      </c>
      <c r="J50" s="84">
        <v>6</v>
      </c>
      <c r="K50" s="84">
        <v>7</v>
      </c>
      <c r="L50" s="84">
        <v>8</v>
      </c>
      <c r="M50" s="84">
        <v>9</v>
      </c>
      <c r="N50" s="84">
        <v>10</v>
      </c>
      <c r="O50" s="84">
        <v>11</v>
      </c>
      <c r="P50" s="84">
        <v>12</v>
      </c>
      <c r="Q50" s="83" t="s">
        <v>61</v>
      </c>
      <c r="R50" s="84">
        <v>13</v>
      </c>
      <c r="S50" s="84">
        <v>14</v>
      </c>
      <c r="T50" s="84">
        <v>15</v>
      </c>
      <c r="U50" s="84">
        <v>16</v>
      </c>
      <c r="V50" s="84">
        <v>17</v>
      </c>
      <c r="W50" s="84">
        <v>18</v>
      </c>
      <c r="X50" s="84">
        <v>19</v>
      </c>
      <c r="Y50" s="84">
        <v>20</v>
      </c>
      <c r="Z50" s="84">
        <v>21</v>
      </c>
      <c r="AA50" s="84">
        <v>22</v>
      </c>
      <c r="AB50" s="84">
        <v>23</v>
      </c>
      <c r="AC50" s="84">
        <v>24</v>
      </c>
      <c r="AD50" s="83" t="s">
        <v>62</v>
      </c>
      <c r="AE50" s="84">
        <v>25</v>
      </c>
      <c r="AF50" s="84">
        <v>26</v>
      </c>
      <c r="AG50" s="84">
        <v>27</v>
      </c>
      <c r="AH50" s="84">
        <v>28</v>
      </c>
      <c r="AI50" s="84">
        <v>29</v>
      </c>
      <c r="AJ50" s="84">
        <v>30</v>
      </c>
      <c r="AK50" s="84">
        <v>31</v>
      </c>
      <c r="AL50" s="84">
        <v>32</v>
      </c>
      <c r="AM50" s="84">
        <v>33</v>
      </c>
      <c r="AN50" s="84">
        <v>34</v>
      </c>
      <c r="AO50" s="84">
        <v>35</v>
      </c>
      <c r="AP50" s="84">
        <v>36</v>
      </c>
      <c r="AQ50" s="83" t="s">
        <v>63</v>
      </c>
      <c r="AR50" s="84">
        <v>37</v>
      </c>
      <c r="AS50" s="84">
        <v>38</v>
      </c>
      <c r="AT50" s="84">
        <v>39</v>
      </c>
      <c r="AU50" s="84">
        <v>40</v>
      </c>
      <c r="AV50" s="84">
        <v>41</v>
      </c>
      <c r="AW50" s="84">
        <v>42</v>
      </c>
      <c r="AX50" s="84">
        <v>43</v>
      </c>
      <c r="AY50" s="84">
        <v>44</v>
      </c>
      <c r="AZ50" s="84">
        <v>45</v>
      </c>
      <c r="BA50" s="84">
        <v>46</v>
      </c>
      <c r="BB50" s="84">
        <v>47</v>
      </c>
      <c r="BC50" s="84">
        <v>48</v>
      </c>
      <c r="BD50" s="83" t="s">
        <v>64</v>
      </c>
      <c r="BE50" s="84">
        <v>49</v>
      </c>
      <c r="BF50" s="84">
        <v>50</v>
      </c>
      <c r="BG50" s="84">
        <v>51</v>
      </c>
      <c r="BH50" s="84">
        <v>52</v>
      </c>
      <c r="BI50" s="84">
        <v>53</v>
      </c>
      <c r="BJ50" s="84">
        <v>54</v>
      </c>
      <c r="BK50" s="84">
        <v>55</v>
      </c>
      <c r="BL50" s="84">
        <v>56</v>
      </c>
      <c r="BM50" s="84">
        <v>57</v>
      </c>
      <c r="BN50" s="84">
        <v>58</v>
      </c>
      <c r="BO50" s="84">
        <v>59</v>
      </c>
      <c r="BP50" s="84">
        <v>60</v>
      </c>
      <c r="BQ50" s="83" t="s">
        <v>65</v>
      </c>
      <c r="BR50" s="83">
        <v>61</v>
      </c>
      <c r="BS50" s="83">
        <v>62</v>
      </c>
      <c r="BT50" s="83">
        <v>63</v>
      </c>
      <c r="BU50" s="83">
        <v>64</v>
      </c>
      <c r="BV50" s="83">
        <v>65</v>
      </c>
      <c r="BW50" s="83">
        <v>66</v>
      </c>
      <c r="BX50" s="83">
        <v>67</v>
      </c>
      <c r="BY50" s="83">
        <v>68</v>
      </c>
      <c r="BZ50" s="83">
        <v>69</v>
      </c>
      <c r="CA50" s="83">
        <v>70</v>
      </c>
      <c r="CB50" s="83">
        <v>71</v>
      </c>
      <c r="CC50" s="83">
        <v>72</v>
      </c>
      <c r="CD50" s="83" t="s">
        <v>66</v>
      </c>
      <c r="CE50" s="83">
        <v>73</v>
      </c>
      <c r="CF50" s="83">
        <v>74</v>
      </c>
      <c r="CG50" s="83">
        <v>75</v>
      </c>
      <c r="CH50" s="83">
        <v>76</v>
      </c>
      <c r="CI50" s="83">
        <v>77</v>
      </c>
      <c r="CJ50" s="83">
        <v>78</v>
      </c>
      <c r="CK50" s="83">
        <v>79</v>
      </c>
      <c r="CL50" s="83">
        <v>80</v>
      </c>
      <c r="CM50" s="83">
        <v>81</v>
      </c>
      <c r="CN50" s="83">
        <v>82</v>
      </c>
      <c r="CO50" s="83">
        <v>83</v>
      </c>
      <c r="CP50" s="168">
        <v>84</v>
      </c>
      <c r="CQ50" s="85" t="s">
        <v>67</v>
      </c>
      <c r="CR50" s="83"/>
      <c r="CS50" s="83"/>
      <c r="CT50" s="83"/>
      <c r="CU50" s="83"/>
      <c r="CV50" s="83"/>
      <c r="CW50" s="83"/>
      <c r="CX50" s="83"/>
      <c r="CY50" s="83"/>
      <c r="CZ50" s="83"/>
      <c r="DA50" s="83"/>
      <c r="DB50" s="83"/>
      <c r="DC50" s="83"/>
      <c r="DD50" s="102"/>
      <c r="DE50" s="102"/>
      <c r="DF50" s="102"/>
      <c r="DG50" s="102"/>
      <c r="DH50" s="102"/>
      <c r="DI50" s="102"/>
      <c r="DJ50" s="102"/>
      <c r="DK50" s="102"/>
    </row>
    <row r="51" spans="1:115" ht="14.25" customHeight="1" x14ac:dyDescent="0.4">
      <c r="A51" s="94"/>
      <c r="B51" s="91" t="s">
        <v>94</v>
      </c>
      <c r="C51" s="86">
        <f t="shared" ref="C51:C62" si="283">SUM(E51:CQ51)-Q51-AD51-AQ51-BD51-BQ51-CD51-CQ51</f>
        <v>-241094711.2614902</v>
      </c>
      <c r="D51" s="103"/>
      <c r="E51" s="103">
        <f t="shared" ref="E51:CQ51" si="284">SUM(E52:E56)</f>
        <v>-2693913.4166666665</v>
      </c>
      <c r="F51" s="103">
        <f t="shared" si="284"/>
        <v>-533913.41666666663</v>
      </c>
      <c r="G51" s="103">
        <f t="shared" si="284"/>
        <v>-2183913.416666667</v>
      </c>
      <c r="H51" s="103">
        <f t="shared" si="284"/>
        <v>-603913.41666666663</v>
      </c>
      <c r="I51" s="103">
        <f t="shared" si="284"/>
        <v>-668913.41666666663</v>
      </c>
      <c r="J51" s="103">
        <f t="shared" si="284"/>
        <v>-329213.41666666663</v>
      </c>
      <c r="K51" s="103">
        <f t="shared" si="284"/>
        <v>-640746.75</v>
      </c>
      <c r="L51" s="103">
        <f t="shared" si="284"/>
        <v>-590746.75</v>
      </c>
      <c r="M51" s="103">
        <f t="shared" si="284"/>
        <v>-683496.75</v>
      </c>
      <c r="N51" s="103">
        <f t="shared" si="284"/>
        <v>-683496.75</v>
      </c>
      <c r="O51" s="103">
        <f t="shared" si="284"/>
        <v>-838080.08333333337</v>
      </c>
      <c r="P51" s="103">
        <f t="shared" si="284"/>
        <v>-838080.08333333337</v>
      </c>
      <c r="Q51" s="118">
        <f t="shared" si="284"/>
        <v>-11278427.666666668</v>
      </c>
      <c r="R51" s="103">
        <f t="shared" si="284"/>
        <v>-679548.62000000011</v>
      </c>
      <c r="S51" s="103">
        <f t="shared" si="284"/>
        <v>-814131.95333333337</v>
      </c>
      <c r="T51" s="103">
        <f t="shared" si="284"/>
        <v>-970215.28666666686</v>
      </c>
      <c r="U51" s="103">
        <f t="shared" si="284"/>
        <v>-1133298.6200000001</v>
      </c>
      <c r="V51" s="103">
        <f t="shared" si="284"/>
        <v>-1277881.9533333334</v>
      </c>
      <c r="W51" s="103">
        <f t="shared" si="284"/>
        <v>-1449715.2866666669</v>
      </c>
      <c r="X51" s="103">
        <f t="shared" si="284"/>
        <v>-1615048.6200000003</v>
      </c>
      <c r="Y51" s="103">
        <f t="shared" si="284"/>
        <v>-1761881.9533333336</v>
      </c>
      <c r="Z51" s="103">
        <f t="shared" si="284"/>
        <v>-1920215.2866666669</v>
      </c>
      <c r="AA51" s="103">
        <f t="shared" si="284"/>
        <v>-2090548.6200000003</v>
      </c>
      <c r="AB51" s="103">
        <f t="shared" si="284"/>
        <v>-2232381.9533333336</v>
      </c>
      <c r="AC51" s="103">
        <f t="shared" si="284"/>
        <v>-2390715.2866666671</v>
      </c>
      <c r="AD51" s="118">
        <f t="shared" si="284"/>
        <v>-18335583.440000001</v>
      </c>
      <c r="AE51" s="103">
        <f t="shared" si="284"/>
        <v>-2622852.8981333338</v>
      </c>
      <c r="AF51" s="103">
        <f t="shared" si="284"/>
        <v>-2753686.2314666673</v>
      </c>
      <c r="AG51" s="103">
        <f t="shared" si="284"/>
        <v>-2912019.5648000007</v>
      </c>
      <c r="AH51" s="103">
        <f t="shared" si="284"/>
        <v>-3082352.8981333338</v>
      </c>
      <c r="AI51" s="103">
        <f t="shared" si="284"/>
        <v>-3224186.2314666673</v>
      </c>
      <c r="AJ51" s="103">
        <f t="shared" si="284"/>
        <v>-3382519.5648000007</v>
      </c>
      <c r="AK51" s="103">
        <f t="shared" si="284"/>
        <v>-3552852.8981333338</v>
      </c>
      <c r="AL51" s="103">
        <f t="shared" si="284"/>
        <v>-3537852.8981333338</v>
      </c>
      <c r="AM51" s="103">
        <f t="shared" si="284"/>
        <v>-3539352.8981333338</v>
      </c>
      <c r="AN51" s="103">
        <f t="shared" si="284"/>
        <v>-3557852.8981333338</v>
      </c>
      <c r="AO51" s="103">
        <f t="shared" si="284"/>
        <v>-3537852.8981333338</v>
      </c>
      <c r="AP51" s="103">
        <f t="shared" si="284"/>
        <v>-3539352.8981333338</v>
      </c>
      <c r="AQ51" s="118">
        <f t="shared" si="284"/>
        <v>-39242734.777600005</v>
      </c>
      <c r="AR51" s="103">
        <f t="shared" si="284"/>
        <v>-3581632.3473920003</v>
      </c>
      <c r="AS51" s="103">
        <f t="shared" si="284"/>
        <v>-3555632.3473920003</v>
      </c>
      <c r="AT51" s="103">
        <f t="shared" si="284"/>
        <v>-3557132.3473920003</v>
      </c>
      <c r="AU51" s="103">
        <f t="shared" si="284"/>
        <v>-3570632.3473920003</v>
      </c>
      <c r="AV51" s="103">
        <f t="shared" si="284"/>
        <v>-3555632.3473920003</v>
      </c>
      <c r="AW51" s="103">
        <f t="shared" si="284"/>
        <v>-3557132.3473920003</v>
      </c>
      <c r="AX51" s="103">
        <f t="shared" si="284"/>
        <v>-3570632.3473920003</v>
      </c>
      <c r="AY51" s="103">
        <f t="shared" si="284"/>
        <v>-3555632.3473920003</v>
      </c>
      <c r="AZ51" s="103">
        <f t="shared" si="284"/>
        <v>-3557132.3473920003</v>
      </c>
      <c r="BA51" s="103">
        <f t="shared" si="284"/>
        <v>-3575632.3473920003</v>
      </c>
      <c r="BB51" s="103">
        <f t="shared" si="284"/>
        <v>-3555632.3473920003</v>
      </c>
      <c r="BC51" s="103">
        <f t="shared" si="284"/>
        <v>-3557132.3473920003</v>
      </c>
      <c r="BD51" s="118">
        <f t="shared" si="284"/>
        <v>-42749588.168704011</v>
      </c>
      <c r="BE51" s="103">
        <f t="shared" si="284"/>
        <v>-3596942.9746210137</v>
      </c>
      <c r="BF51" s="103">
        <f t="shared" si="284"/>
        <v>-3570942.9746210137</v>
      </c>
      <c r="BG51" s="103">
        <f t="shared" si="284"/>
        <v>-3573200.0946210138</v>
      </c>
      <c r="BH51" s="103">
        <f t="shared" si="284"/>
        <v>-3586700.0946210138</v>
      </c>
      <c r="BI51" s="103">
        <f t="shared" si="284"/>
        <v>-3572487.4994210135</v>
      </c>
      <c r="BJ51" s="103">
        <f t="shared" si="284"/>
        <v>-3573987.4994210135</v>
      </c>
      <c r="BK51" s="103">
        <f t="shared" si="284"/>
        <v>-3588306.4004130135</v>
      </c>
      <c r="BL51" s="103">
        <f t="shared" si="284"/>
        <v>-3573306.4004130135</v>
      </c>
      <c r="BM51" s="103">
        <f t="shared" si="284"/>
        <v>-3575658.0574446935</v>
      </c>
      <c r="BN51" s="103">
        <f t="shared" si="284"/>
        <v>-3594158.0574446935</v>
      </c>
      <c r="BO51" s="103">
        <f t="shared" si="284"/>
        <v>-3575043.780757641</v>
      </c>
      <c r="BP51" s="103">
        <f t="shared" si="284"/>
        <v>-3576543.780757641</v>
      </c>
      <c r="BQ51" s="118">
        <f t="shared" si="284"/>
        <v>-42957277.614556782</v>
      </c>
      <c r="BR51" s="103">
        <f t="shared" si="284"/>
        <v>-3616637.0749168028</v>
      </c>
      <c r="BS51" s="103">
        <f t="shared" si="284"/>
        <v>-3590637.0749168028</v>
      </c>
      <c r="BT51" s="103">
        <f t="shared" si="284"/>
        <v>-3592137.0749168028</v>
      </c>
      <c r="BU51" s="103">
        <f t="shared" si="284"/>
        <v>-3605637.0749168028</v>
      </c>
      <c r="BV51" s="103">
        <f t="shared" si="284"/>
        <v>-3590637.0749168028</v>
      </c>
      <c r="BW51" s="103">
        <f t="shared" si="284"/>
        <v>-3592137.0749168028</v>
      </c>
      <c r="BX51" s="103">
        <f t="shared" si="284"/>
        <v>-3605637.0749168028</v>
      </c>
      <c r="BY51" s="103">
        <f t="shared" si="284"/>
        <v>-3590637.0749168028</v>
      </c>
      <c r="BZ51" s="103">
        <f t="shared" si="284"/>
        <v>-3592137.0749168028</v>
      </c>
      <c r="CA51" s="103">
        <f t="shared" si="284"/>
        <v>-3610637.0749168028</v>
      </c>
      <c r="CB51" s="103">
        <f t="shared" si="284"/>
        <v>-3590637.0749168028</v>
      </c>
      <c r="CC51" s="103">
        <f t="shared" si="284"/>
        <v>-3592137.0749168028</v>
      </c>
      <c r="CD51" s="118">
        <f t="shared" si="284"/>
        <v>-43169644.899001636</v>
      </c>
      <c r="CE51" s="103">
        <f t="shared" si="284"/>
        <v>-3631787.8912468082</v>
      </c>
      <c r="CF51" s="103">
        <f t="shared" si="284"/>
        <v>-3605787.8912468082</v>
      </c>
      <c r="CG51" s="103">
        <f t="shared" si="284"/>
        <v>-3607287.8912468082</v>
      </c>
      <c r="CH51" s="103">
        <f t="shared" si="284"/>
        <v>-3620787.8912468082</v>
      </c>
      <c r="CI51" s="103">
        <f t="shared" si="284"/>
        <v>-3605787.8912468082</v>
      </c>
      <c r="CJ51" s="103">
        <f t="shared" si="284"/>
        <v>-3607287.8912468082</v>
      </c>
      <c r="CK51" s="103">
        <f t="shared" si="284"/>
        <v>-3620787.8912468082</v>
      </c>
      <c r="CL51" s="103">
        <f t="shared" si="284"/>
        <v>-3605787.8912468082</v>
      </c>
      <c r="CM51" s="103">
        <f t="shared" si="284"/>
        <v>-3607287.8912468082</v>
      </c>
      <c r="CN51" s="103">
        <f t="shared" si="284"/>
        <v>-3625787.8912468082</v>
      </c>
      <c r="CO51" s="103">
        <f t="shared" si="284"/>
        <v>-3605787.8912468082</v>
      </c>
      <c r="CP51" s="72">
        <f t="shared" si="284"/>
        <v>-3607287.8912468082</v>
      </c>
      <c r="CQ51" s="103">
        <f t="shared" si="284"/>
        <v>-43351454.694961704</v>
      </c>
      <c r="CR51" s="95"/>
      <c r="CS51" s="95"/>
      <c r="CT51" s="95"/>
      <c r="CU51" s="95"/>
      <c r="CV51" s="95"/>
      <c r="CW51" s="95"/>
      <c r="CX51" s="95"/>
      <c r="CY51" s="95"/>
      <c r="CZ51" s="95"/>
      <c r="DA51" s="95"/>
      <c r="DB51" s="95"/>
      <c r="DC51" s="95"/>
      <c r="DD51" s="95"/>
      <c r="DE51" s="95"/>
      <c r="DF51" s="95"/>
      <c r="DG51" s="95"/>
      <c r="DH51" s="95"/>
      <c r="DI51" s="95"/>
      <c r="DJ51" s="95"/>
      <c r="DK51" s="95"/>
    </row>
    <row r="52" spans="1:115" ht="14.25" customHeight="1" outlineLevel="1" x14ac:dyDescent="0.4">
      <c r="A52" s="94"/>
      <c r="B52" s="24" t="s">
        <v>617</v>
      </c>
      <c r="C52" s="87">
        <f t="shared" si="283"/>
        <v>-5550000</v>
      </c>
      <c r="D52" s="87"/>
      <c r="E52" s="87">
        <f>-(E20+E21)*0.01</f>
        <v>-2050000</v>
      </c>
      <c r="F52" s="87">
        <f t="shared" ref="F52:AC52" si="285">-(F20+F21)*0.01</f>
        <v>0</v>
      </c>
      <c r="G52" s="87">
        <f t="shared" si="285"/>
        <v>-1750000</v>
      </c>
      <c r="H52" s="87">
        <f t="shared" si="285"/>
        <v>-200000</v>
      </c>
      <c r="I52" s="87">
        <f t="shared" si="285"/>
        <v>-300000</v>
      </c>
      <c r="J52" s="87">
        <f t="shared" si="285"/>
        <v>0</v>
      </c>
      <c r="K52" s="87">
        <f t="shared" si="285"/>
        <v>-250000</v>
      </c>
      <c r="L52" s="87">
        <f t="shared" si="285"/>
        <v>-200000</v>
      </c>
      <c r="M52" s="87">
        <f t="shared" si="285"/>
        <v>-200000</v>
      </c>
      <c r="N52" s="87">
        <f t="shared" si="285"/>
        <v>-200000</v>
      </c>
      <c r="O52" s="87">
        <f t="shared" si="285"/>
        <v>-200000</v>
      </c>
      <c r="P52" s="87">
        <f t="shared" si="285"/>
        <v>-200000</v>
      </c>
      <c r="Q52" s="89">
        <f>-(Q20+Q21)*0.01</f>
        <v>-5550000</v>
      </c>
      <c r="R52" s="87">
        <f t="shared" si="285"/>
        <v>0</v>
      </c>
      <c r="S52" s="87">
        <f t="shared" si="285"/>
        <v>0</v>
      </c>
      <c r="T52" s="87">
        <f t="shared" si="285"/>
        <v>0</v>
      </c>
      <c r="U52" s="87">
        <f t="shared" si="285"/>
        <v>0</v>
      </c>
      <c r="V52" s="87">
        <f t="shared" si="285"/>
        <v>0</v>
      </c>
      <c r="W52" s="87">
        <f t="shared" si="285"/>
        <v>0</v>
      </c>
      <c r="X52" s="87">
        <f t="shared" si="285"/>
        <v>0</v>
      </c>
      <c r="Y52" s="87">
        <f t="shared" si="285"/>
        <v>0</v>
      </c>
      <c r="Z52" s="87">
        <f t="shared" si="285"/>
        <v>0</v>
      </c>
      <c r="AA52" s="87">
        <f t="shared" si="285"/>
        <v>0</v>
      </c>
      <c r="AB52" s="87">
        <f t="shared" si="285"/>
        <v>0</v>
      </c>
      <c r="AC52" s="87">
        <f t="shared" si="285"/>
        <v>0</v>
      </c>
      <c r="AD52" s="89">
        <f>-(AD20+AD21)*0.01</f>
        <v>0</v>
      </c>
      <c r="AE52" s="87">
        <f>-(AE20+AE21)*0.01</f>
        <v>0</v>
      </c>
      <c r="AF52" s="87">
        <f t="shared" ref="AF52:CQ52" si="286">-(AF20+AF21)*0.01</f>
        <v>0</v>
      </c>
      <c r="AG52" s="87">
        <f t="shared" si="286"/>
        <v>0</v>
      </c>
      <c r="AH52" s="87">
        <f t="shared" si="286"/>
        <v>0</v>
      </c>
      <c r="AI52" s="87">
        <f t="shared" si="286"/>
        <v>0</v>
      </c>
      <c r="AJ52" s="87">
        <f t="shared" si="286"/>
        <v>0</v>
      </c>
      <c r="AK52" s="87">
        <f t="shared" si="286"/>
        <v>0</v>
      </c>
      <c r="AL52" s="87">
        <f t="shared" si="286"/>
        <v>0</v>
      </c>
      <c r="AM52" s="87">
        <f t="shared" si="286"/>
        <v>0</v>
      </c>
      <c r="AN52" s="87">
        <f t="shared" si="286"/>
        <v>0</v>
      </c>
      <c r="AO52" s="87">
        <f t="shared" si="286"/>
        <v>0</v>
      </c>
      <c r="AP52" s="87">
        <f t="shared" si="286"/>
        <v>0</v>
      </c>
      <c r="AQ52" s="89">
        <f t="shared" si="286"/>
        <v>0</v>
      </c>
      <c r="AR52" s="87">
        <f t="shared" si="286"/>
        <v>0</v>
      </c>
      <c r="AS52" s="87">
        <f t="shared" si="286"/>
        <v>0</v>
      </c>
      <c r="AT52" s="87">
        <f t="shared" si="286"/>
        <v>0</v>
      </c>
      <c r="AU52" s="87">
        <f t="shared" si="286"/>
        <v>0</v>
      </c>
      <c r="AV52" s="87">
        <f t="shared" si="286"/>
        <v>0</v>
      </c>
      <c r="AW52" s="87">
        <f t="shared" si="286"/>
        <v>0</v>
      </c>
      <c r="AX52" s="87">
        <f t="shared" si="286"/>
        <v>0</v>
      </c>
      <c r="AY52" s="87">
        <f t="shared" si="286"/>
        <v>0</v>
      </c>
      <c r="AZ52" s="87">
        <f t="shared" si="286"/>
        <v>0</v>
      </c>
      <c r="BA52" s="87">
        <f t="shared" si="286"/>
        <v>0</v>
      </c>
      <c r="BB52" s="87">
        <f t="shared" si="286"/>
        <v>0</v>
      </c>
      <c r="BC52" s="87">
        <f t="shared" si="286"/>
        <v>0</v>
      </c>
      <c r="BD52" s="89">
        <f t="shared" si="286"/>
        <v>0</v>
      </c>
      <c r="BE52" s="87">
        <f t="shared" si="286"/>
        <v>0</v>
      </c>
      <c r="BF52" s="87">
        <f t="shared" si="286"/>
        <v>0</v>
      </c>
      <c r="BG52" s="87">
        <f t="shared" si="286"/>
        <v>0</v>
      </c>
      <c r="BH52" s="87">
        <f t="shared" si="286"/>
        <v>0</v>
      </c>
      <c r="BI52" s="87">
        <f t="shared" si="286"/>
        <v>0</v>
      </c>
      <c r="BJ52" s="87">
        <f t="shared" si="286"/>
        <v>0</v>
      </c>
      <c r="BK52" s="87">
        <f t="shared" si="286"/>
        <v>0</v>
      </c>
      <c r="BL52" s="87">
        <f t="shared" si="286"/>
        <v>0</v>
      </c>
      <c r="BM52" s="87">
        <f t="shared" si="286"/>
        <v>0</v>
      </c>
      <c r="BN52" s="87">
        <f t="shared" si="286"/>
        <v>0</v>
      </c>
      <c r="BO52" s="87">
        <f t="shared" si="286"/>
        <v>0</v>
      </c>
      <c r="BP52" s="87">
        <f t="shared" si="286"/>
        <v>0</v>
      </c>
      <c r="BQ52" s="89">
        <f t="shared" si="286"/>
        <v>0</v>
      </c>
      <c r="BR52" s="87">
        <f t="shared" si="286"/>
        <v>0</v>
      </c>
      <c r="BS52" s="87">
        <f t="shared" si="286"/>
        <v>0</v>
      </c>
      <c r="BT52" s="87">
        <f t="shared" si="286"/>
        <v>0</v>
      </c>
      <c r="BU52" s="87">
        <f t="shared" si="286"/>
        <v>0</v>
      </c>
      <c r="BV52" s="87">
        <f t="shared" si="286"/>
        <v>0</v>
      </c>
      <c r="BW52" s="87">
        <f t="shared" si="286"/>
        <v>0</v>
      </c>
      <c r="BX52" s="87">
        <f t="shared" si="286"/>
        <v>0</v>
      </c>
      <c r="BY52" s="87">
        <f t="shared" si="286"/>
        <v>0</v>
      </c>
      <c r="BZ52" s="87">
        <f t="shared" si="286"/>
        <v>0</v>
      </c>
      <c r="CA52" s="87">
        <f t="shared" si="286"/>
        <v>0</v>
      </c>
      <c r="CB52" s="87">
        <f t="shared" si="286"/>
        <v>0</v>
      </c>
      <c r="CC52" s="87">
        <f t="shared" si="286"/>
        <v>0</v>
      </c>
      <c r="CD52" s="89">
        <f t="shared" si="286"/>
        <v>0</v>
      </c>
      <c r="CE52" s="87">
        <f t="shared" si="286"/>
        <v>0</v>
      </c>
      <c r="CF52" s="87">
        <f t="shared" si="286"/>
        <v>0</v>
      </c>
      <c r="CG52" s="87">
        <f t="shared" si="286"/>
        <v>0</v>
      </c>
      <c r="CH52" s="87">
        <f t="shared" si="286"/>
        <v>0</v>
      </c>
      <c r="CI52" s="87">
        <f t="shared" si="286"/>
        <v>0</v>
      </c>
      <c r="CJ52" s="87">
        <f t="shared" si="286"/>
        <v>0</v>
      </c>
      <c r="CK52" s="87">
        <f t="shared" si="286"/>
        <v>0</v>
      </c>
      <c r="CL52" s="87">
        <f t="shared" si="286"/>
        <v>0</v>
      </c>
      <c r="CM52" s="87">
        <f t="shared" si="286"/>
        <v>0</v>
      </c>
      <c r="CN52" s="87">
        <f t="shared" si="286"/>
        <v>0</v>
      </c>
      <c r="CO52" s="87">
        <f t="shared" si="286"/>
        <v>0</v>
      </c>
      <c r="CP52" s="38">
        <f t="shared" si="286"/>
        <v>0</v>
      </c>
      <c r="CQ52" s="89">
        <f t="shared" si="286"/>
        <v>0</v>
      </c>
      <c r="CR52" s="95"/>
      <c r="CS52" s="95"/>
      <c r="CT52" s="95"/>
      <c r="CU52" s="95"/>
      <c r="CV52" s="95"/>
      <c r="CW52" s="95"/>
      <c r="CX52" s="95"/>
      <c r="CY52" s="95"/>
      <c r="CZ52" s="95"/>
      <c r="DA52" s="95"/>
      <c r="DB52" s="95"/>
      <c r="DC52" s="95"/>
      <c r="DD52" s="95"/>
      <c r="DE52" s="95"/>
      <c r="DF52" s="95"/>
      <c r="DG52" s="95"/>
      <c r="DH52" s="95"/>
      <c r="DI52" s="95"/>
      <c r="DJ52" s="95"/>
      <c r="DK52" s="95"/>
    </row>
    <row r="53" spans="1:115" ht="14.25" customHeight="1" outlineLevel="1" x14ac:dyDescent="0.4">
      <c r="A53" s="94"/>
      <c r="B53" s="428" t="s">
        <v>569</v>
      </c>
      <c r="C53" s="87">
        <f t="shared" si="283"/>
        <v>-13637866.027574142</v>
      </c>
      <c r="D53" s="87"/>
      <c r="E53" s="87">
        <f>'Overahead Exp.'!F19</f>
        <v>-125175</v>
      </c>
      <c r="F53" s="87">
        <f>'Overahead Exp.'!G19</f>
        <v>-120175</v>
      </c>
      <c r="G53" s="87">
        <f>'Overahead Exp.'!H19</f>
        <v>-115175</v>
      </c>
      <c r="H53" s="87">
        <f>'Overahead Exp.'!I19</f>
        <v>-115175</v>
      </c>
      <c r="I53" s="87">
        <f>'Overahead Exp.'!J19</f>
        <v>-115175</v>
      </c>
      <c r="J53" s="87">
        <f>'Overahead Exp.'!K19</f>
        <v>-115475</v>
      </c>
      <c r="K53" s="87">
        <f>'Overahead Exp.'!L19</f>
        <v>-115175</v>
      </c>
      <c r="L53" s="87">
        <f>'Overahead Exp.'!M19</f>
        <v>-115175</v>
      </c>
      <c r="M53" s="87">
        <f>'Overahead Exp.'!N19</f>
        <v>-115175</v>
      </c>
      <c r="N53" s="87">
        <f>'Overahead Exp.'!O19</f>
        <v>-115175</v>
      </c>
      <c r="O53" s="87">
        <f>'Overahead Exp.'!P19</f>
        <v>-115175</v>
      </c>
      <c r="P53" s="87">
        <f>'Overahead Exp.'!Q19</f>
        <v>-115175</v>
      </c>
      <c r="Q53" s="89">
        <f>'Overahead Exp.'!R19</f>
        <v>-1397400</v>
      </c>
      <c r="R53" s="87">
        <f>'Overahead Exp.'!S19</f>
        <v>-133702</v>
      </c>
      <c r="S53" s="87">
        <f>'Overahead Exp.'!T19</f>
        <v>-128702</v>
      </c>
      <c r="T53" s="87">
        <f>'Overahead Exp.'!U19</f>
        <v>-130202</v>
      </c>
      <c r="U53" s="87">
        <f>'Overahead Exp.'!V19</f>
        <v>-128702</v>
      </c>
      <c r="V53" s="87">
        <f>'Overahead Exp.'!W19</f>
        <v>-128702</v>
      </c>
      <c r="W53" s="87">
        <f>'Overahead Exp.'!X19</f>
        <v>-130202</v>
      </c>
      <c r="X53" s="87">
        <f>'Overahead Exp.'!Y19</f>
        <v>-128702</v>
      </c>
      <c r="Y53" s="87">
        <f>'Overahead Exp.'!Z19</f>
        <v>-128702</v>
      </c>
      <c r="Z53" s="87">
        <f>'Overahead Exp.'!AA19</f>
        <v>-130202</v>
      </c>
      <c r="AA53" s="87">
        <f>'Overahead Exp.'!AB19</f>
        <v>-128702</v>
      </c>
      <c r="AB53" s="87">
        <f>'Overahead Exp.'!AC19</f>
        <v>-128702</v>
      </c>
      <c r="AC53" s="87">
        <f>'Overahead Exp.'!AD19</f>
        <v>-130202</v>
      </c>
      <c r="AD53" s="89">
        <f>'Overahead Exp.'!AE19</f>
        <v>-1555424</v>
      </c>
      <c r="AE53" s="87">
        <f>'Overahead Exp.'!AF19</f>
        <v>-166247.08000000002</v>
      </c>
      <c r="AF53" s="87">
        <f>'Overahead Exp.'!AG19</f>
        <v>-160247.08000000002</v>
      </c>
      <c r="AG53" s="87">
        <f>'Overahead Exp.'!AH19</f>
        <v>-161747.08000000002</v>
      </c>
      <c r="AH53" s="87">
        <f>'Overahead Exp.'!AI19</f>
        <v>-160247.08000000002</v>
      </c>
      <c r="AI53" s="87">
        <f>'Overahead Exp.'!AJ19</f>
        <v>-160247.08000000002</v>
      </c>
      <c r="AJ53" s="87">
        <f>'Overahead Exp.'!AK19</f>
        <v>-161747.08000000002</v>
      </c>
      <c r="AK53" s="87">
        <f>'Overahead Exp.'!AL19</f>
        <v>-160247.08000000002</v>
      </c>
      <c r="AL53" s="87">
        <f>'Overahead Exp.'!AM19</f>
        <v>-160247.08000000002</v>
      </c>
      <c r="AM53" s="87">
        <f>'Overahead Exp.'!AN19</f>
        <v>-161747.08000000002</v>
      </c>
      <c r="AN53" s="87">
        <f>'Overahead Exp.'!AO19</f>
        <v>-160247.08000000002</v>
      </c>
      <c r="AO53" s="87">
        <f>'Overahead Exp.'!AP19</f>
        <v>-160247.08000000002</v>
      </c>
      <c r="AP53" s="87">
        <f>'Overahead Exp.'!AQ19</f>
        <v>-161747.08000000002</v>
      </c>
      <c r="AQ53" s="89">
        <f>'Overahead Exp.'!AR19</f>
        <v>-1934964.9600000007</v>
      </c>
      <c r="AR53" s="87">
        <f>'Overahead Exp.'!AS19</f>
        <v>-175436.9632</v>
      </c>
      <c r="AS53" s="87">
        <f>'Overahead Exp.'!AT19</f>
        <v>-169436.9632</v>
      </c>
      <c r="AT53" s="87">
        <f>'Overahead Exp.'!AU19</f>
        <v>-170936.9632</v>
      </c>
      <c r="AU53" s="87">
        <f>'Overahead Exp.'!AV19</f>
        <v>-169436.9632</v>
      </c>
      <c r="AV53" s="87">
        <f>'Overahead Exp.'!AW19</f>
        <v>-169436.9632</v>
      </c>
      <c r="AW53" s="87">
        <f>'Overahead Exp.'!AX19</f>
        <v>-170936.9632</v>
      </c>
      <c r="AX53" s="87">
        <f>'Overahead Exp.'!AY19</f>
        <v>-169436.9632</v>
      </c>
      <c r="AY53" s="87">
        <f>'Overahead Exp.'!AZ19</f>
        <v>-169436.9632</v>
      </c>
      <c r="AZ53" s="87">
        <f>'Overahead Exp.'!BA19</f>
        <v>-170936.9632</v>
      </c>
      <c r="BA53" s="87">
        <f>'Overahead Exp.'!BB19</f>
        <v>-169436.9632</v>
      </c>
      <c r="BB53" s="87">
        <f>'Overahead Exp.'!BC19</f>
        <v>-169436.9632</v>
      </c>
      <c r="BC53" s="87">
        <f>'Overahead Exp.'!BD19</f>
        <v>-170936.9632</v>
      </c>
      <c r="BD53" s="89">
        <f>'Overahead Exp.'!BE19</f>
        <v>-2045243.5584000004</v>
      </c>
      <c r="BE53" s="87">
        <f>'Overahead Exp.'!BF19</f>
        <v>-181814.44172800001</v>
      </c>
      <c r="BF53" s="87">
        <f>'Overahead Exp.'!BG19</f>
        <v>-175814.44172800001</v>
      </c>
      <c r="BG53" s="87">
        <f>'Overahead Exp.'!BH19</f>
        <v>-178071.561728</v>
      </c>
      <c r="BH53" s="87">
        <f>'Overahead Exp.'!BI19</f>
        <v>-176571.561728</v>
      </c>
      <c r="BI53" s="87">
        <f>'Overahead Exp.'!BJ19</f>
        <v>-177358.96652800002</v>
      </c>
      <c r="BJ53" s="87">
        <f>'Overahead Exp.'!BK19</f>
        <v>-178858.96652800002</v>
      </c>
      <c r="BK53" s="87">
        <f>'Overahead Exp.'!BL19</f>
        <v>-178177.86752</v>
      </c>
      <c r="BL53" s="87">
        <f>'Overahead Exp.'!BM19</f>
        <v>-178177.86752</v>
      </c>
      <c r="BM53" s="87">
        <f>'Overahead Exp.'!BN19</f>
        <v>-180529.52455168002</v>
      </c>
      <c r="BN53" s="87">
        <f>'Overahead Exp.'!BO19</f>
        <v>-179029.52455168002</v>
      </c>
      <c r="BO53" s="87">
        <f>'Overahead Exp.'!BP19</f>
        <v>-179915.24786462722</v>
      </c>
      <c r="BP53" s="87">
        <f>'Overahead Exp.'!BQ19</f>
        <v>-181415.24786462722</v>
      </c>
      <c r="BQ53" s="89">
        <f>'Overahead Exp.'!BR19</f>
        <v>-2145735.2198406151</v>
      </c>
      <c r="BR53" s="87">
        <f>'Overahead Exp.'!BS19</f>
        <v>-192218.06737473537</v>
      </c>
      <c r="BS53" s="87">
        <f>'Overahead Exp.'!BT19</f>
        <v>-186218.06737473537</v>
      </c>
      <c r="BT53" s="87">
        <f>'Overahead Exp.'!BU19</f>
        <v>-187718.06737473537</v>
      </c>
      <c r="BU53" s="87">
        <f>'Overahead Exp.'!BV19</f>
        <v>-186218.06737473537</v>
      </c>
      <c r="BV53" s="87">
        <f>'Overahead Exp.'!BW19</f>
        <v>-186218.06737473537</v>
      </c>
      <c r="BW53" s="87">
        <f>'Overahead Exp.'!BX19</f>
        <v>-187718.06737473537</v>
      </c>
      <c r="BX53" s="87">
        <f>'Overahead Exp.'!BY19</f>
        <v>-186218.06737473537</v>
      </c>
      <c r="BY53" s="87">
        <f>'Overahead Exp.'!BZ19</f>
        <v>-186218.06737473537</v>
      </c>
      <c r="BZ53" s="87">
        <f>'Overahead Exp.'!CA19</f>
        <v>-187718.06737473537</v>
      </c>
      <c r="CA53" s="87">
        <f>'Overahead Exp.'!CB19</f>
        <v>-186218.06737473537</v>
      </c>
      <c r="CB53" s="87">
        <f>'Overahead Exp.'!CC19</f>
        <v>-186218.06737473537</v>
      </c>
      <c r="CC53" s="87">
        <f>'Overahead Exp.'!CD19</f>
        <v>-187718.06737473537</v>
      </c>
      <c r="CD53" s="89">
        <f>'Overahead Exp.'!CE19</f>
        <v>-2246616.8084968245</v>
      </c>
      <c r="CE53" s="87">
        <f>'Overahead Exp.'!CF19</f>
        <v>-197706.79006972481</v>
      </c>
      <c r="CF53" s="87">
        <f>'Overahead Exp.'!CG19</f>
        <v>-191706.79006972481</v>
      </c>
      <c r="CG53" s="87">
        <f>'Overahead Exp.'!CH19</f>
        <v>-193206.79006972481</v>
      </c>
      <c r="CH53" s="87">
        <f>'Overahead Exp.'!CI19</f>
        <v>-191706.79006972481</v>
      </c>
      <c r="CI53" s="87">
        <f>'Overahead Exp.'!CJ19</f>
        <v>-191706.79006972481</v>
      </c>
      <c r="CJ53" s="87">
        <f>'Overahead Exp.'!CK19</f>
        <v>-193206.79006972481</v>
      </c>
      <c r="CK53" s="87">
        <f>'Overahead Exp.'!CL19</f>
        <v>-191706.79006972481</v>
      </c>
      <c r="CL53" s="87">
        <f>'Overahead Exp.'!CM19</f>
        <v>-191706.79006972481</v>
      </c>
      <c r="CM53" s="87">
        <f>'Overahead Exp.'!CN19</f>
        <v>-193206.79006972481</v>
      </c>
      <c r="CN53" s="87">
        <f>'Overahead Exp.'!CO19</f>
        <v>-191706.79006972481</v>
      </c>
      <c r="CO53" s="87">
        <f>'Overahead Exp.'!CP19</f>
        <v>-191706.79006972481</v>
      </c>
      <c r="CP53" s="38">
        <f>'Overahead Exp.'!CQ19</f>
        <v>-193206.79006972481</v>
      </c>
      <c r="CQ53" s="87">
        <f>'Overahead Exp.'!CR19</f>
        <v>-2312481.4808366983</v>
      </c>
      <c r="CR53" s="95"/>
      <c r="CS53" s="95"/>
      <c r="CT53" s="95"/>
      <c r="CU53" s="95"/>
      <c r="CV53" s="95"/>
      <c r="CW53" s="95"/>
      <c r="CX53" s="95"/>
      <c r="CY53" s="95"/>
      <c r="CZ53" s="95"/>
      <c r="DA53" s="95"/>
      <c r="DB53" s="95"/>
      <c r="DC53" s="95"/>
      <c r="DD53" s="95"/>
      <c r="DE53" s="95"/>
      <c r="DF53" s="95"/>
      <c r="DG53" s="95"/>
      <c r="DH53" s="95"/>
      <c r="DI53" s="95"/>
      <c r="DJ53" s="95"/>
      <c r="DK53" s="95"/>
    </row>
    <row r="54" spans="1:115" ht="14.25" customHeight="1" outlineLevel="1" x14ac:dyDescent="0.4">
      <c r="A54" s="94">
        <v>8</v>
      </c>
      <c r="B54" s="425" t="s">
        <v>580</v>
      </c>
      <c r="C54" s="87">
        <f t="shared" si="283"/>
        <v>-34986428.567249961</v>
      </c>
      <c r="D54" s="87"/>
      <c r="E54" s="87">
        <f>'Field Operations'!F26</f>
        <v>-229738.41666666666</v>
      </c>
      <c r="F54" s="87">
        <f>'Field Operations'!G26</f>
        <v>-199738.41666666666</v>
      </c>
      <c r="G54" s="87">
        <f>'Field Operations'!H26</f>
        <v>-229738.41666666666</v>
      </c>
      <c r="H54" s="87">
        <f>'Field Operations'!I26</f>
        <v>-199738.41666666666</v>
      </c>
      <c r="I54" s="87">
        <f>'Field Operations'!J26</f>
        <v>-239738.41666666666</v>
      </c>
      <c r="J54" s="87">
        <f>'Field Operations'!K26</f>
        <v>-199738.41666666666</v>
      </c>
      <c r="K54" s="87">
        <f>'Field Operations'!L26</f>
        <v>-203738.41666666666</v>
      </c>
      <c r="L54" s="87">
        <f>'Field Operations'!M26</f>
        <v>-203738.41666666666</v>
      </c>
      <c r="M54" s="87">
        <f>'Field Operations'!N26</f>
        <v>-209738.41666666666</v>
      </c>
      <c r="N54" s="87">
        <f>'Field Operations'!O26</f>
        <v>-209738.41666666666</v>
      </c>
      <c r="O54" s="87">
        <f>'Field Operations'!P26</f>
        <v>-219738.41666666666</v>
      </c>
      <c r="P54" s="87">
        <f>'Field Operations'!Q26</f>
        <v>-219738.41666666666</v>
      </c>
      <c r="Q54" s="89">
        <f>'Field Operations'!R26</f>
        <v>-2554861</v>
      </c>
      <c r="R54" s="87">
        <f>'Field Operations'!S26</f>
        <v>-242679.95333333331</v>
      </c>
      <c r="S54" s="87">
        <f>'Field Operations'!T26</f>
        <v>-237679.95333333331</v>
      </c>
      <c r="T54" s="87">
        <f>'Field Operations'!U26</f>
        <v>-247679.95333333331</v>
      </c>
      <c r="U54" s="87">
        <f>'Field Operations'!V26</f>
        <v>-267679.95333333331</v>
      </c>
      <c r="V54" s="87">
        <f>'Field Operations'!W26</f>
        <v>-267679.95333333331</v>
      </c>
      <c r="W54" s="87">
        <f>'Field Operations'!X26</f>
        <v>-293429.95333333331</v>
      </c>
      <c r="X54" s="87">
        <f>'Field Operations'!Y26</f>
        <v>-315679.95333333331</v>
      </c>
      <c r="Y54" s="87">
        <f>'Field Operations'!Z26</f>
        <v>-317929.95333333331</v>
      </c>
      <c r="Z54" s="87">
        <f>'Field Operations'!AA26</f>
        <v>-330179.95333333331</v>
      </c>
      <c r="AA54" s="87">
        <f>'Field Operations'!AB26</f>
        <v>-357429.95333333331</v>
      </c>
      <c r="AB54" s="87">
        <f>'Field Operations'!AC26</f>
        <v>-354679.95333333331</v>
      </c>
      <c r="AC54" s="87">
        <f>'Field Operations'!AD26</f>
        <v>-366929.95333333331</v>
      </c>
      <c r="AD54" s="89">
        <f>'Field Operations'!AE26</f>
        <v>-3599659.44</v>
      </c>
      <c r="AE54" s="87">
        <f>'Field Operations'!AF26</f>
        <v>-407439.15146666666</v>
      </c>
      <c r="AF54" s="87">
        <f>'Field Operations'!AG26</f>
        <v>-399689.15146666666</v>
      </c>
      <c r="AG54" s="87">
        <f>'Field Operations'!AH26</f>
        <v>-411939.15146666666</v>
      </c>
      <c r="AH54" s="87">
        <f>'Field Operations'!AI26</f>
        <v>-439189.15146666666</v>
      </c>
      <c r="AI54" s="87">
        <f>'Field Operations'!AJ26</f>
        <v>-436439.15146666666</v>
      </c>
      <c r="AJ54" s="87">
        <f>'Field Operations'!AK26</f>
        <v>-448689.15146666666</v>
      </c>
      <c r="AK54" s="87">
        <f>'Field Operations'!AL26</f>
        <v>-475939.15146666666</v>
      </c>
      <c r="AL54" s="87">
        <f>'Field Operations'!AM26</f>
        <v>-460939.15146666666</v>
      </c>
      <c r="AM54" s="87">
        <f>'Field Operations'!AN26</f>
        <v>-460939.15146666666</v>
      </c>
      <c r="AN54" s="87">
        <f>'Field Operations'!AO26</f>
        <v>-480939.15146666666</v>
      </c>
      <c r="AO54" s="87">
        <f>'Field Operations'!AP26</f>
        <v>-460939.15146666666</v>
      </c>
      <c r="AP54" s="87">
        <f>'Field Operations'!AQ26</f>
        <v>-460939.15146666666</v>
      </c>
      <c r="AQ54" s="89">
        <f>'Field Operations'!AR26</f>
        <v>-5344019.8175999997</v>
      </c>
      <c r="AR54" s="87">
        <f>'Field Operations'!AS26</f>
        <v>-489528.71752533328</v>
      </c>
      <c r="AS54" s="87">
        <f>'Field Operations'!AT26</f>
        <v>-469528.71752533328</v>
      </c>
      <c r="AT54" s="87">
        <f>'Field Operations'!AU26</f>
        <v>-469528.71752533328</v>
      </c>
      <c r="AU54" s="87">
        <f>'Field Operations'!AV26</f>
        <v>-484528.71752533328</v>
      </c>
      <c r="AV54" s="87">
        <f>'Field Operations'!AW26</f>
        <v>-469528.71752533328</v>
      </c>
      <c r="AW54" s="87">
        <f>'Field Operations'!AX26</f>
        <v>-469528.71752533328</v>
      </c>
      <c r="AX54" s="87">
        <f>'Field Operations'!AY26</f>
        <v>-484528.71752533328</v>
      </c>
      <c r="AY54" s="87">
        <f>'Field Operations'!AZ26</f>
        <v>-469528.71752533328</v>
      </c>
      <c r="AZ54" s="87">
        <f>'Field Operations'!BA26</f>
        <v>-469528.71752533328</v>
      </c>
      <c r="BA54" s="87">
        <f>'Field Operations'!BB26</f>
        <v>-489528.71752533328</v>
      </c>
      <c r="BB54" s="87">
        <f>'Field Operations'!BC26</f>
        <v>-469528.71752533328</v>
      </c>
      <c r="BC54" s="87">
        <f>'Field Operations'!BD26</f>
        <v>-469528.71752533328</v>
      </c>
      <c r="BD54" s="89">
        <f>'Field Operations'!BE26</f>
        <v>-5704344.6103039999</v>
      </c>
      <c r="BE54" s="87">
        <f>'Field Operations'!BF26</f>
        <v>-498461.8662263467</v>
      </c>
      <c r="BF54" s="87">
        <f>'Field Operations'!BG26</f>
        <v>-478461.8662263467</v>
      </c>
      <c r="BG54" s="87">
        <f>'Field Operations'!BH26</f>
        <v>-478461.8662263467</v>
      </c>
      <c r="BH54" s="87">
        <f>'Field Operations'!BI26</f>
        <v>-493461.8662263467</v>
      </c>
      <c r="BI54" s="87">
        <f>'Field Operations'!BJ26</f>
        <v>-478461.8662263467</v>
      </c>
      <c r="BJ54" s="87">
        <f>'Field Operations'!BK26</f>
        <v>-478461.8662263467</v>
      </c>
      <c r="BK54" s="87">
        <f>'Field Operations'!BL26</f>
        <v>-493461.8662263467</v>
      </c>
      <c r="BL54" s="87">
        <f>'Field Operations'!BM26</f>
        <v>-478461.8662263467</v>
      </c>
      <c r="BM54" s="87">
        <f>'Field Operations'!BN26</f>
        <v>-478461.8662263467</v>
      </c>
      <c r="BN54" s="87">
        <f>'Field Operations'!BO26</f>
        <v>-498461.8662263467</v>
      </c>
      <c r="BO54" s="87">
        <f>'Field Operations'!BP26</f>
        <v>-478461.8662263467</v>
      </c>
      <c r="BP54" s="87">
        <f>'Field Operations'!BQ26</f>
        <v>-478461.8662263467</v>
      </c>
      <c r="BQ54" s="89">
        <f>'Field Operations'!BR26</f>
        <v>-5811542.3947161604</v>
      </c>
      <c r="BR54" s="87">
        <f>'Field Operations'!BS26</f>
        <v>-507752.34087540058</v>
      </c>
      <c r="BS54" s="87">
        <f>'Field Operations'!BT26</f>
        <v>-487752.34087540058</v>
      </c>
      <c r="BT54" s="87">
        <f>'Field Operations'!BU26</f>
        <v>-487752.34087540058</v>
      </c>
      <c r="BU54" s="87">
        <f>'Field Operations'!BV26</f>
        <v>-502752.34087540058</v>
      </c>
      <c r="BV54" s="87">
        <f>'Field Operations'!BW26</f>
        <v>-487752.34087540058</v>
      </c>
      <c r="BW54" s="87">
        <f>'Field Operations'!BX26</f>
        <v>-487752.34087540058</v>
      </c>
      <c r="BX54" s="87">
        <f>'Field Operations'!BY26</f>
        <v>-502752.34087540058</v>
      </c>
      <c r="BY54" s="87">
        <f>'Field Operations'!BZ26</f>
        <v>-487752.34087540058</v>
      </c>
      <c r="BZ54" s="87">
        <f>'Field Operations'!CA26</f>
        <v>-487752.34087540058</v>
      </c>
      <c r="CA54" s="87">
        <f>'Field Operations'!CB26</f>
        <v>-507752.34087540058</v>
      </c>
      <c r="CB54" s="87">
        <f>'Field Operations'!CC26</f>
        <v>-487752.34087540058</v>
      </c>
      <c r="CC54" s="87">
        <f>'Field Operations'!CD26</f>
        <v>-487752.34087540058</v>
      </c>
      <c r="CD54" s="89">
        <f>'Field Operations'!CE26</f>
        <v>-5923028.0905048065</v>
      </c>
      <c r="CE54" s="87">
        <f>'Field Operations'!CF26</f>
        <v>-517414.43451041653</v>
      </c>
      <c r="CF54" s="87">
        <f>'Field Operations'!CG26</f>
        <v>-497414.43451041658</v>
      </c>
      <c r="CG54" s="87">
        <f>'Field Operations'!CH26</f>
        <v>-497414.43451041658</v>
      </c>
      <c r="CH54" s="87">
        <f>'Field Operations'!CI26</f>
        <v>-512414.43451041658</v>
      </c>
      <c r="CI54" s="87">
        <f>'Field Operations'!CJ26</f>
        <v>-497414.43451041658</v>
      </c>
      <c r="CJ54" s="87">
        <f>'Field Operations'!CK26</f>
        <v>-497414.43451041658</v>
      </c>
      <c r="CK54" s="87">
        <f>'Field Operations'!CL26</f>
        <v>-512414.43451041658</v>
      </c>
      <c r="CL54" s="87">
        <f>'Field Operations'!CM26</f>
        <v>-497414.43451041658</v>
      </c>
      <c r="CM54" s="87">
        <f>'Field Operations'!CN26</f>
        <v>-497414.43451041658</v>
      </c>
      <c r="CN54" s="87">
        <f>'Field Operations'!CO26</f>
        <v>-517414.43451041653</v>
      </c>
      <c r="CO54" s="87">
        <f>'Field Operations'!CP26</f>
        <v>-497414.43451041658</v>
      </c>
      <c r="CP54" s="38">
        <f>'Field Operations'!CQ26</f>
        <v>-497414.43451041658</v>
      </c>
      <c r="CQ54" s="88">
        <f>'Field Operations'!CR26</f>
        <v>-6038973.2141249981</v>
      </c>
      <c r="CR54" s="95"/>
      <c r="CS54" s="95"/>
      <c r="CT54" s="95"/>
      <c r="CU54" s="95"/>
      <c r="CV54" s="95"/>
      <c r="CW54" s="95"/>
      <c r="CX54" s="95"/>
      <c r="CY54" s="95"/>
      <c r="CZ54" s="95"/>
      <c r="DA54" s="95"/>
      <c r="DB54" s="95"/>
      <c r="DC54" s="95"/>
      <c r="DD54" s="95"/>
      <c r="DE54" s="95"/>
      <c r="DF54" s="95"/>
      <c r="DG54" s="95"/>
      <c r="DH54" s="95"/>
      <c r="DI54" s="95"/>
      <c r="DJ54" s="95"/>
      <c r="DK54" s="95"/>
    </row>
    <row r="55" spans="1:115" ht="14.25" customHeight="1" outlineLevel="1" x14ac:dyDescent="0.4">
      <c r="A55" s="94">
        <v>9</v>
      </c>
      <c r="B55" s="91" t="s">
        <v>95</v>
      </c>
      <c r="C55" s="87">
        <f t="shared" si="283"/>
        <v>-184459416.66666675</v>
      </c>
      <c r="D55" s="87"/>
      <c r="E55" s="87">
        <v>0</v>
      </c>
      <c r="F55" s="87">
        <v>0</v>
      </c>
      <c r="G55" s="87">
        <v>0</v>
      </c>
      <c r="H55" s="87">
        <v>0</v>
      </c>
      <c r="I55" s="87">
        <v>0</v>
      </c>
      <c r="J55" s="87">
        <v>0</v>
      </c>
      <c r="K55" s="87">
        <f>-'Processing Equipment'!$C$31*K18</f>
        <v>-57833.333333333343</v>
      </c>
      <c r="L55" s="87">
        <f>-'Processing Equipment'!$C$31*L18</f>
        <v>-57833.333333333343</v>
      </c>
      <c r="M55" s="87">
        <f>-'Processing Equipment'!$C$31*M18</f>
        <v>-144583.33333333337</v>
      </c>
      <c r="N55" s="87">
        <f>-'Processing Equipment'!$C$31*N18</f>
        <v>-144583.33333333337</v>
      </c>
      <c r="O55" s="87">
        <f>-'Processing Equipment'!$C$31*O18</f>
        <v>-289166.66666666674</v>
      </c>
      <c r="P55" s="87">
        <f>-'Processing Equipment'!$C$31*P18</f>
        <v>-289166.66666666674</v>
      </c>
      <c r="Q55" s="89">
        <f t="shared" ref="Q55:Q60" si="287">SUM(E55:P55)</f>
        <v>-983166.66666666698</v>
      </c>
      <c r="R55" s="87">
        <f>-'Processing Equipment'!$C$31*R18</f>
        <v>-289166.66666666674</v>
      </c>
      <c r="S55" s="87">
        <f>-'Processing Equipment'!$C$31*S18</f>
        <v>-433750.00000000006</v>
      </c>
      <c r="T55" s="87">
        <f>-'Processing Equipment'!$C$31*T18</f>
        <v>-578333.33333333349</v>
      </c>
      <c r="U55" s="87">
        <f>-'Processing Equipment'!$C$31*U18</f>
        <v>-722916.66666666674</v>
      </c>
      <c r="V55" s="87">
        <f>-'Processing Equipment'!$C$31*V18</f>
        <v>-867500.00000000012</v>
      </c>
      <c r="W55" s="87">
        <f>-'Processing Equipment'!$C$31*W18</f>
        <v>-1012083.3333333335</v>
      </c>
      <c r="X55" s="87">
        <f>-'Processing Equipment'!$C$31*X18</f>
        <v>-1156666.666666667</v>
      </c>
      <c r="Y55" s="87">
        <f>-'Processing Equipment'!$C$31*Y18</f>
        <v>-1301250.0000000002</v>
      </c>
      <c r="Z55" s="87">
        <f>-'Processing Equipment'!$C$31*Z18</f>
        <v>-1445833.3333333335</v>
      </c>
      <c r="AA55" s="87">
        <f>-'Processing Equipment'!$C$31*AA18</f>
        <v>-1590416.666666667</v>
      </c>
      <c r="AB55" s="87">
        <f>-'Processing Equipment'!$C$31*AB18</f>
        <v>-1735000.0000000002</v>
      </c>
      <c r="AC55" s="87">
        <f>-'Processing Equipment'!$C$31*AC18</f>
        <v>-1879583.3333333337</v>
      </c>
      <c r="AD55" s="89">
        <f t="shared" ref="AD55:AD60" si="288">SUM(R55:AC55)</f>
        <v>-13012500.000000002</v>
      </c>
      <c r="AE55" s="87">
        <f>-'Processing Equipment'!$C$31*AE18</f>
        <v>-2024166.666666667</v>
      </c>
      <c r="AF55" s="87">
        <f>-'Processing Equipment'!$C$31*AF18</f>
        <v>-2168750.0000000005</v>
      </c>
      <c r="AG55" s="87">
        <f>-'Processing Equipment'!$C$31*AG18</f>
        <v>-2313333.333333334</v>
      </c>
      <c r="AH55" s="87">
        <f>-'Processing Equipment'!$C$31*AH18</f>
        <v>-2457916.666666667</v>
      </c>
      <c r="AI55" s="87">
        <f>-'Processing Equipment'!$C$31*AI18</f>
        <v>-2602500.0000000005</v>
      </c>
      <c r="AJ55" s="87">
        <f>-'Processing Equipment'!$C$31*AJ18</f>
        <v>-2747083.333333334</v>
      </c>
      <c r="AK55" s="87">
        <f>-'Processing Equipment'!$C$31*AK18</f>
        <v>-2891666.666666667</v>
      </c>
      <c r="AL55" s="87">
        <f>-'Processing Equipment'!$C$31*AL18</f>
        <v>-2891666.666666667</v>
      </c>
      <c r="AM55" s="87">
        <f>-'Processing Equipment'!$C$31*AM18</f>
        <v>-2891666.666666667</v>
      </c>
      <c r="AN55" s="87">
        <f>-'Processing Equipment'!$C$31*AN18</f>
        <v>-2891666.666666667</v>
      </c>
      <c r="AO55" s="87">
        <f>-'Processing Equipment'!$C$31*AO18</f>
        <v>-2891666.666666667</v>
      </c>
      <c r="AP55" s="87">
        <f>-'Processing Equipment'!$C$31*AP18</f>
        <v>-2891666.666666667</v>
      </c>
      <c r="AQ55" s="89">
        <f t="shared" ref="AQ55:AQ60" si="289">SUM(AE55:AP55)</f>
        <v>-31663750.000000007</v>
      </c>
      <c r="AR55" s="87">
        <f>-'Processing Equipment'!$C$31*AR18</f>
        <v>-2891666.666666667</v>
      </c>
      <c r="AS55" s="87">
        <f>-'Processing Equipment'!$C$31*AS18</f>
        <v>-2891666.666666667</v>
      </c>
      <c r="AT55" s="87">
        <f>-'Processing Equipment'!$C$31*AT18</f>
        <v>-2891666.666666667</v>
      </c>
      <c r="AU55" s="87">
        <f>-'Processing Equipment'!$C$31*AU18</f>
        <v>-2891666.666666667</v>
      </c>
      <c r="AV55" s="87">
        <f>-'Processing Equipment'!$C$31*AV18</f>
        <v>-2891666.666666667</v>
      </c>
      <c r="AW55" s="87">
        <f>-'Processing Equipment'!$C$31*AW18</f>
        <v>-2891666.666666667</v>
      </c>
      <c r="AX55" s="87">
        <f>-'Processing Equipment'!$C$31*AX18</f>
        <v>-2891666.666666667</v>
      </c>
      <c r="AY55" s="87">
        <f>-'Processing Equipment'!$C$31*AY18</f>
        <v>-2891666.666666667</v>
      </c>
      <c r="AZ55" s="87">
        <f>-'Processing Equipment'!$C$31*AZ18</f>
        <v>-2891666.666666667</v>
      </c>
      <c r="BA55" s="87">
        <f>-'Processing Equipment'!$C$31*BA18</f>
        <v>-2891666.666666667</v>
      </c>
      <c r="BB55" s="87">
        <f>-'Processing Equipment'!$C$31*BB18</f>
        <v>-2891666.666666667</v>
      </c>
      <c r="BC55" s="87">
        <f>-'Processing Equipment'!$C$31*BC18</f>
        <v>-2891666.666666667</v>
      </c>
      <c r="BD55" s="89">
        <f t="shared" ref="BD55:BD60" si="290">SUM(AR55:BC55)</f>
        <v>-34700000.000000007</v>
      </c>
      <c r="BE55" s="87">
        <f>-'Processing Equipment'!$C$31*BE18</f>
        <v>-2891666.666666667</v>
      </c>
      <c r="BF55" s="87">
        <f>-'Processing Equipment'!$C$31*BF18</f>
        <v>-2891666.666666667</v>
      </c>
      <c r="BG55" s="87">
        <f>-'Processing Equipment'!$C$31*BG18</f>
        <v>-2891666.666666667</v>
      </c>
      <c r="BH55" s="87">
        <f>-'Processing Equipment'!$C$31*BH18</f>
        <v>-2891666.666666667</v>
      </c>
      <c r="BI55" s="87">
        <f>-'Processing Equipment'!$C$31*BI18</f>
        <v>-2891666.666666667</v>
      </c>
      <c r="BJ55" s="87">
        <f>-'Processing Equipment'!$C$31*BJ18</f>
        <v>-2891666.666666667</v>
      </c>
      <c r="BK55" s="87">
        <f>-'Processing Equipment'!$C$31*BK18</f>
        <v>-2891666.666666667</v>
      </c>
      <c r="BL55" s="87">
        <f>-'Processing Equipment'!$C$31*BL18</f>
        <v>-2891666.666666667</v>
      </c>
      <c r="BM55" s="87">
        <f>-'Processing Equipment'!$C$31*BM18</f>
        <v>-2891666.666666667</v>
      </c>
      <c r="BN55" s="87">
        <f>-'Processing Equipment'!$C$31*BN18</f>
        <v>-2891666.666666667</v>
      </c>
      <c r="BO55" s="87">
        <f>-'Processing Equipment'!$C$31*BO18</f>
        <v>-2891666.666666667</v>
      </c>
      <c r="BP55" s="87">
        <f>-'Processing Equipment'!$C$31*BP18</f>
        <v>-2891666.666666667</v>
      </c>
      <c r="BQ55" s="89">
        <f t="shared" ref="BQ55:BQ62" si="291">SUM(BE55:BP55)</f>
        <v>-34700000.000000007</v>
      </c>
      <c r="BR55" s="87">
        <f>-'Processing Equipment'!$C$31*BR18</f>
        <v>-2891666.666666667</v>
      </c>
      <c r="BS55" s="87">
        <f>-'Processing Equipment'!$C$31*BS18</f>
        <v>-2891666.666666667</v>
      </c>
      <c r="BT55" s="87">
        <f>-'Processing Equipment'!$C$31*BT18</f>
        <v>-2891666.666666667</v>
      </c>
      <c r="BU55" s="87">
        <f>-'Processing Equipment'!$C$31*BU18</f>
        <v>-2891666.666666667</v>
      </c>
      <c r="BV55" s="87">
        <f>-'Processing Equipment'!$C$31*BV18</f>
        <v>-2891666.666666667</v>
      </c>
      <c r="BW55" s="87">
        <f>-'Processing Equipment'!$C$31*BW18</f>
        <v>-2891666.666666667</v>
      </c>
      <c r="BX55" s="87">
        <f>-'Processing Equipment'!$C$31*BX18</f>
        <v>-2891666.666666667</v>
      </c>
      <c r="BY55" s="87">
        <f>-'Processing Equipment'!$C$31*BY18</f>
        <v>-2891666.666666667</v>
      </c>
      <c r="BZ55" s="87">
        <f>-'Processing Equipment'!$C$31*BZ18</f>
        <v>-2891666.666666667</v>
      </c>
      <c r="CA55" s="87">
        <f>-'Processing Equipment'!$C$31*CA18</f>
        <v>-2891666.666666667</v>
      </c>
      <c r="CB55" s="87">
        <f>-'Processing Equipment'!$C$31*CB18</f>
        <v>-2891666.666666667</v>
      </c>
      <c r="CC55" s="87">
        <f>-'Processing Equipment'!$C$31*CC18</f>
        <v>-2891666.666666667</v>
      </c>
      <c r="CD55" s="89">
        <f t="shared" ref="CD55:CD62" si="292">SUM(BR55:CC55)</f>
        <v>-34700000.000000007</v>
      </c>
      <c r="CE55" s="87">
        <f>-'Processing Equipment'!$C$31*CE18</f>
        <v>-2891666.666666667</v>
      </c>
      <c r="CF55" s="87">
        <f>-'Processing Equipment'!$C$31*CF18</f>
        <v>-2891666.666666667</v>
      </c>
      <c r="CG55" s="87">
        <f>-'Processing Equipment'!$C$31*CG18</f>
        <v>-2891666.666666667</v>
      </c>
      <c r="CH55" s="87">
        <f>-'Processing Equipment'!$C$31*CH18</f>
        <v>-2891666.666666667</v>
      </c>
      <c r="CI55" s="87">
        <f>-'Processing Equipment'!$C$31*CI18</f>
        <v>-2891666.666666667</v>
      </c>
      <c r="CJ55" s="87">
        <f>-'Processing Equipment'!$C$31*CJ18</f>
        <v>-2891666.666666667</v>
      </c>
      <c r="CK55" s="87">
        <f>-'Processing Equipment'!$C$31*CK18</f>
        <v>-2891666.666666667</v>
      </c>
      <c r="CL55" s="87">
        <f>-'Processing Equipment'!$C$31*CL18</f>
        <v>-2891666.666666667</v>
      </c>
      <c r="CM55" s="87">
        <f>-'Processing Equipment'!$C$31*CM18</f>
        <v>-2891666.666666667</v>
      </c>
      <c r="CN55" s="87">
        <f>-'Processing Equipment'!$C$31*CN18</f>
        <v>-2891666.666666667</v>
      </c>
      <c r="CO55" s="87">
        <f>-'Processing Equipment'!$C$31*CO18</f>
        <v>-2891666.666666667</v>
      </c>
      <c r="CP55" s="38">
        <f>-'Processing Equipment'!$C$31*CP18</f>
        <v>-2891666.666666667</v>
      </c>
      <c r="CQ55" s="86">
        <f t="shared" ref="CQ55:CQ62" si="293">SUM(CE55:CP55)</f>
        <v>-34700000.000000007</v>
      </c>
      <c r="CR55" s="95"/>
      <c r="CS55" s="95"/>
      <c r="CT55" s="95"/>
      <c r="CU55" s="95"/>
      <c r="CV55" s="95"/>
      <c r="CW55" s="95"/>
      <c r="CX55" s="95"/>
      <c r="CY55" s="95"/>
      <c r="CZ55" s="95"/>
      <c r="DA55" s="95"/>
      <c r="DB55" s="95"/>
      <c r="DC55" s="95"/>
      <c r="DD55" s="95"/>
      <c r="DE55" s="95"/>
      <c r="DF55" s="95"/>
      <c r="DG55" s="95"/>
      <c r="DH55" s="95"/>
      <c r="DI55" s="95"/>
      <c r="DJ55" s="95"/>
      <c r="DK55" s="95"/>
    </row>
    <row r="56" spans="1:115" ht="14.25" customHeight="1" outlineLevel="1" x14ac:dyDescent="0.4">
      <c r="A56" s="94">
        <v>10</v>
      </c>
      <c r="B56" s="91" t="s">
        <v>96</v>
      </c>
      <c r="C56" s="87">
        <f t="shared" si="283"/>
        <v>-2461000</v>
      </c>
      <c r="D56" s="87"/>
      <c r="E56" s="87">
        <v>-289000</v>
      </c>
      <c r="F56" s="87">
        <v>-214000</v>
      </c>
      <c r="G56" s="87">
        <v>-89000</v>
      </c>
      <c r="H56" s="87">
        <v>-89000</v>
      </c>
      <c r="I56" s="87">
        <v>-14000</v>
      </c>
      <c r="J56" s="87">
        <v>-14000</v>
      </c>
      <c r="K56" s="87">
        <v>-14000</v>
      </c>
      <c r="L56" s="87">
        <v>-14000</v>
      </c>
      <c r="M56" s="87">
        <v>-14000</v>
      </c>
      <c r="N56" s="87">
        <v>-14000</v>
      </c>
      <c r="O56" s="87">
        <v>-14000</v>
      </c>
      <c r="P56" s="87">
        <v>-14000</v>
      </c>
      <c r="Q56" s="89">
        <f t="shared" si="287"/>
        <v>-793000</v>
      </c>
      <c r="R56" s="87">
        <v>-14000</v>
      </c>
      <c r="S56" s="87">
        <v>-14000</v>
      </c>
      <c r="T56" s="87">
        <v>-14000</v>
      </c>
      <c r="U56" s="87">
        <v>-14000</v>
      </c>
      <c r="V56" s="87">
        <v>-14000</v>
      </c>
      <c r="W56" s="87">
        <v>-14000</v>
      </c>
      <c r="X56" s="87">
        <v>-14000</v>
      </c>
      <c r="Y56" s="87">
        <v>-14000</v>
      </c>
      <c r="Z56" s="87">
        <v>-14000</v>
      </c>
      <c r="AA56" s="87">
        <v>-14000</v>
      </c>
      <c r="AB56" s="87">
        <v>-14000</v>
      </c>
      <c r="AC56" s="87">
        <v>-14000</v>
      </c>
      <c r="AD56" s="89">
        <f t="shared" si="288"/>
        <v>-168000</v>
      </c>
      <c r="AE56" s="87">
        <v>-25000</v>
      </c>
      <c r="AF56" s="87">
        <v>-25000</v>
      </c>
      <c r="AG56" s="87">
        <v>-25000</v>
      </c>
      <c r="AH56" s="87">
        <v>-25000</v>
      </c>
      <c r="AI56" s="87">
        <v>-25000</v>
      </c>
      <c r="AJ56" s="87">
        <v>-25000</v>
      </c>
      <c r="AK56" s="87">
        <v>-25000</v>
      </c>
      <c r="AL56" s="87">
        <v>-25000</v>
      </c>
      <c r="AM56" s="87">
        <v>-25000</v>
      </c>
      <c r="AN56" s="87">
        <v>-25000</v>
      </c>
      <c r="AO56" s="87">
        <v>-25000</v>
      </c>
      <c r="AP56" s="87">
        <v>-25000</v>
      </c>
      <c r="AQ56" s="89">
        <f t="shared" si="289"/>
        <v>-300000</v>
      </c>
      <c r="AR56" s="87">
        <v>-25000</v>
      </c>
      <c r="AS56" s="87">
        <v>-25000</v>
      </c>
      <c r="AT56" s="87">
        <v>-25000</v>
      </c>
      <c r="AU56" s="87">
        <v>-25000</v>
      </c>
      <c r="AV56" s="87">
        <v>-25000</v>
      </c>
      <c r="AW56" s="87">
        <v>-25000</v>
      </c>
      <c r="AX56" s="87">
        <v>-25000</v>
      </c>
      <c r="AY56" s="87">
        <v>-25000</v>
      </c>
      <c r="AZ56" s="87">
        <v>-25000</v>
      </c>
      <c r="BA56" s="87">
        <v>-25000</v>
      </c>
      <c r="BB56" s="87">
        <v>-25000</v>
      </c>
      <c r="BC56" s="87">
        <v>-25000</v>
      </c>
      <c r="BD56" s="89">
        <f t="shared" si="290"/>
        <v>-300000</v>
      </c>
      <c r="BE56" s="87">
        <v>-25000</v>
      </c>
      <c r="BF56" s="87">
        <v>-25000</v>
      </c>
      <c r="BG56" s="87">
        <v>-25000</v>
      </c>
      <c r="BH56" s="87">
        <v>-25000</v>
      </c>
      <c r="BI56" s="87">
        <v>-25000</v>
      </c>
      <c r="BJ56" s="87">
        <v>-25000</v>
      </c>
      <c r="BK56" s="87">
        <v>-25000</v>
      </c>
      <c r="BL56" s="87">
        <v>-25000</v>
      </c>
      <c r="BM56" s="87">
        <v>-25000</v>
      </c>
      <c r="BN56" s="87">
        <v>-25000</v>
      </c>
      <c r="BO56" s="87">
        <v>-25000</v>
      </c>
      <c r="BP56" s="87">
        <v>-25000</v>
      </c>
      <c r="BQ56" s="89">
        <f t="shared" si="291"/>
        <v>-300000</v>
      </c>
      <c r="BR56" s="87">
        <v>-25000</v>
      </c>
      <c r="BS56" s="87">
        <v>-25000</v>
      </c>
      <c r="BT56" s="87">
        <v>-25000</v>
      </c>
      <c r="BU56" s="87">
        <v>-25000</v>
      </c>
      <c r="BV56" s="87">
        <v>-25000</v>
      </c>
      <c r="BW56" s="87">
        <v>-25000</v>
      </c>
      <c r="BX56" s="87">
        <v>-25000</v>
      </c>
      <c r="BY56" s="87">
        <v>-25000</v>
      </c>
      <c r="BZ56" s="87">
        <v>-25000</v>
      </c>
      <c r="CA56" s="87">
        <v>-25000</v>
      </c>
      <c r="CB56" s="87">
        <v>-25000</v>
      </c>
      <c r="CC56" s="87">
        <v>-25000</v>
      </c>
      <c r="CD56" s="89">
        <f t="shared" si="292"/>
        <v>-300000</v>
      </c>
      <c r="CE56" s="87">
        <v>-25000</v>
      </c>
      <c r="CF56" s="87">
        <v>-25000</v>
      </c>
      <c r="CG56" s="87">
        <v>-25000</v>
      </c>
      <c r="CH56" s="87">
        <v>-25000</v>
      </c>
      <c r="CI56" s="87">
        <v>-25000</v>
      </c>
      <c r="CJ56" s="87">
        <v>-25000</v>
      </c>
      <c r="CK56" s="87">
        <v>-25000</v>
      </c>
      <c r="CL56" s="87">
        <v>-25000</v>
      </c>
      <c r="CM56" s="87">
        <v>-25000</v>
      </c>
      <c r="CN56" s="87">
        <v>-25000</v>
      </c>
      <c r="CO56" s="87">
        <v>-25000</v>
      </c>
      <c r="CP56" s="38">
        <v>-25000</v>
      </c>
      <c r="CQ56" s="86">
        <f t="shared" si="293"/>
        <v>-300000</v>
      </c>
      <c r="CR56" s="95"/>
      <c r="CS56" s="95"/>
      <c r="CT56" s="95"/>
      <c r="CU56" s="95"/>
      <c r="CV56" s="95"/>
      <c r="CW56" s="95"/>
      <c r="CX56" s="95"/>
      <c r="CY56" s="95"/>
      <c r="CZ56" s="95"/>
      <c r="DA56" s="95"/>
      <c r="DB56" s="95"/>
      <c r="DC56" s="95"/>
      <c r="DD56" s="95"/>
      <c r="DE56" s="95"/>
      <c r="DF56" s="95"/>
      <c r="DG56" s="95"/>
      <c r="DH56" s="95"/>
      <c r="DI56" s="95"/>
      <c r="DJ56" s="95"/>
      <c r="DK56" s="95"/>
    </row>
    <row r="57" spans="1:115" ht="14.25" customHeight="1" x14ac:dyDescent="0.4">
      <c r="A57" s="104"/>
      <c r="B57" s="91" t="s">
        <v>97</v>
      </c>
      <c r="C57" s="92">
        <f t="shared" si="283"/>
        <v>-245794329.51999983</v>
      </c>
      <c r="D57" s="92"/>
      <c r="E57" s="92">
        <f>SUM(E60:E83)</f>
        <v>-924240</v>
      </c>
      <c r="F57" s="92">
        <f>SUM(F59:F83)</f>
        <v>-2424240</v>
      </c>
      <c r="G57" s="92">
        <f t="shared" ref="G57:P57" si="294">SUM(G60:G83)</f>
        <v>0</v>
      </c>
      <c r="H57" s="92">
        <f t="shared" si="294"/>
        <v>0</v>
      </c>
      <c r="I57" s="92">
        <f t="shared" si="294"/>
        <v>-19791497.920000002</v>
      </c>
      <c r="J57" s="92">
        <f t="shared" si="294"/>
        <v>0</v>
      </c>
      <c r="K57" s="92">
        <f t="shared" si="294"/>
        <v>0</v>
      </c>
      <c r="L57" s="92">
        <f t="shared" si="294"/>
        <v>-12369686.200000001</v>
      </c>
      <c r="M57" s="92">
        <f t="shared" si="294"/>
        <v>-12369686.200000001</v>
      </c>
      <c r="N57" s="92">
        <f t="shared" si="294"/>
        <v>-12369686.200000001</v>
      </c>
      <c r="O57" s="92">
        <f t="shared" si="294"/>
        <v>-12369686.200000001</v>
      </c>
      <c r="P57" s="92">
        <f t="shared" si="294"/>
        <v>-12369686.200000001</v>
      </c>
      <c r="Q57" s="116">
        <f t="shared" si="287"/>
        <v>-84988408.920000017</v>
      </c>
      <c r="R57" s="92">
        <f t="shared" ref="R57:AC57" si="295">SUM(R60:R83)</f>
        <v>-12369686.200000001</v>
      </c>
      <c r="S57" s="92">
        <f t="shared" si="295"/>
        <v>-12369686.200000001</v>
      </c>
      <c r="T57" s="92">
        <f t="shared" si="295"/>
        <v>-12369686.200000001</v>
      </c>
      <c r="U57" s="92">
        <f t="shared" si="295"/>
        <v>-12369686.200000001</v>
      </c>
      <c r="V57" s="92">
        <f t="shared" si="295"/>
        <v>-12369686.200000001</v>
      </c>
      <c r="W57" s="92">
        <f t="shared" si="295"/>
        <v>-12369686.200000001</v>
      </c>
      <c r="X57" s="92">
        <f t="shared" si="295"/>
        <v>-12369686.200000001</v>
      </c>
      <c r="Y57" s="92">
        <f t="shared" si="295"/>
        <v>-12369686.200000001</v>
      </c>
      <c r="Z57" s="92">
        <f t="shared" si="295"/>
        <v>-12369686.200000001</v>
      </c>
      <c r="AA57" s="92">
        <f t="shared" si="295"/>
        <v>-12369686.200000001</v>
      </c>
      <c r="AB57" s="92">
        <f t="shared" si="295"/>
        <v>-12369686.200000001</v>
      </c>
      <c r="AC57" s="92">
        <f t="shared" si="295"/>
        <v>-12369686.200000001</v>
      </c>
      <c r="AD57" s="116">
        <f t="shared" si="288"/>
        <v>-148436234.40000001</v>
      </c>
      <c r="AE57" s="92">
        <f>SUM(AE60:AE83)</f>
        <v>-12369686.200000001</v>
      </c>
      <c r="AF57" s="92">
        <f>SUM(AF60:AF83)</f>
        <v>0</v>
      </c>
      <c r="AG57" s="92">
        <f>SUM(AG60:AG83)</f>
        <v>0</v>
      </c>
      <c r="AH57" s="92">
        <f t="shared" ref="AH57:AP57" si="296">SUM(AH60:AH83)</f>
        <v>0</v>
      </c>
      <c r="AI57" s="92">
        <f t="shared" si="296"/>
        <v>0</v>
      </c>
      <c r="AJ57" s="92">
        <f t="shared" si="296"/>
        <v>0</v>
      </c>
      <c r="AK57" s="92">
        <f t="shared" si="296"/>
        <v>0</v>
      </c>
      <c r="AL57" s="92">
        <f t="shared" si="296"/>
        <v>0</v>
      </c>
      <c r="AM57" s="92">
        <f t="shared" si="296"/>
        <v>0</v>
      </c>
      <c r="AN57" s="92">
        <f t="shared" si="296"/>
        <v>0</v>
      </c>
      <c r="AO57" s="92">
        <f t="shared" si="296"/>
        <v>0</v>
      </c>
      <c r="AP57" s="92">
        <f t="shared" si="296"/>
        <v>0</v>
      </c>
      <c r="AQ57" s="116">
        <f t="shared" si="289"/>
        <v>-12369686.200000001</v>
      </c>
      <c r="AR57" s="92">
        <f t="shared" ref="AR57:BC57" si="297">SUM(AR60:AR83)</f>
        <v>0</v>
      </c>
      <c r="AS57" s="92">
        <f t="shared" si="297"/>
        <v>0</v>
      </c>
      <c r="AT57" s="92">
        <f t="shared" si="297"/>
        <v>0</v>
      </c>
      <c r="AU57" s="92">
        <f t="shared" si="297"/>
        <v>0</v>
      </c>
      <c r="AV57" s="92">
        <f t="shared" si="297"/>
        <v>0</v>
      </c>
      <c r="AW57" s="92">
        <f t="shared" si="297"/>
        <v>0</v>
      </c>
      <c r="AX57" s="92">
        <f t="shared" si="297"/>
        <v>0</v>
      </c>
      <c r="AY57" s="92">
        <f t="shared" si="297"/>
        <v>0</v>
      </c>
      <c r="AZ57" s="92">
        <f t="shared" si="297"/>
        <v>0</v>
      </c>
      <c r="BA57" s="92">
        <f t="shared" si="297"/>
        <v>0</v>
      </c>
      <c r="BB57" s="92">
        <f t="shared" si="297"/>
        <v>0</v>
      </c>
      <c r="BC57" s="92">
        <f t="shared" si="297"/>
        <v>0</v>
      </c>
      <c r="BD57" s="116">
        <f t="shared" si="290"/>
        <v>0</v>
      </c>
      <c r="BE57" s="92">
        <f t="shared" ref="BE57:BP57" si="298">SUM(BE60:BE83)</f>
        <v>0</v>
      </c>
      <c r="BF57" s="92">
        <f t="shared" si="298"/>
        <v>0</v>
      </c>
      <c r="BG57" s="92">
        <f t="shared" si="298"/>
        <v>0</v>
      </c>
      <c r="BH57" s="92">
        <f t="shared" si="298"/>
        <v>0</v>
      </c>
      <c r="BI57" s="92">
        <f t="shared" si="298"/>
        <v>0</v>
      </c>
      <c r="BJ57" s="92">
        <f t="shared" si="298"/>
        <v>0</v>
      </c>
      <c r="BK57" s="92">
        <f t="shared" si="298"/>
        <v>0</v>
      </c>
      <c r="BL57" s="92">
        <f t="shared" si="298"/>
        <v>0</v>
      </c>
      <c r="BM57" s="92">
        <f t="shared" si="298"/>
        <v>0</v>
      </c>
      <c r="BN57" s="92">
        <f t="shared" si="298"/>
        <v>0</v>
      </c>
      <c r="BO57" s="92">
        <f t="shared" si="298"/>
        <v>0</v>
      </c>
      <c r="BP57" s="92">
        <f t="shared" si="298"/>
        <v>0</v>
      </c>
      <c r="BQ57" s="116">
        <f t="shared" si="291"/>
        <v>0</v>
      </c>
      <c r="BR57" s="92">
        <f t="shared" ref="BR57:CC57" si="299">SUM(BR60:BR83)</f>
        <v>0</v>
      </c>
      <c r="BS57" s="92">
        <f t="shared" si="299"/>
        <v>0</v>
      </c>
      <c r="BT57" s="92">
        <f t="shared" si="299"/>
        <v>0</v>
      </c>
      <c r="BU57" s="92">
        <f t="shared" si="299"/>
        <v>0</v>
      </c>
      <c r="BV57" s="92">
        <f t="shared" si="299"/>
        <v>0</v>
      </c>
      <c r="BW57" s="92">
        <f t="shared" si="299"/>
        <v>0</v>
      </c>
      <c r="BX57" s="92">
        <f t="shared" si="299"/>
        <v>0</v>
      </c>
      <c r="BY57" s="92">
        <f t="shared" si="299"/>
        <v>0</v>
      </c>
      <c r="BZ57" s="92">
        <f t="shared" si="299"/>
        <v>0</v>
      </c>
      <c r="CA57" s="92">
        <f t="shared" si="299"/>
        <v>0</v>
      </c>
      <c r="CB57" s="92">
        <f t="shared" si="299"/>
        <v>0</v>
      </c>
      <c r="CC57" s="92">
        <f t="shared" si="299"/>
        <v>0</v>
      </c>
      <c r="CD57" s="116">
        <f t="shared" si="292"/>
        <v>0</v>
      </c>
      <c r="CE57" s="92">
        <f t="shared" ref="CE57:CP57" si="300">SUM(CE60:CE83)</f>
        <v>0</v>
      </c>
      <c r="CF57" s="92">
        <f t="shared" si="300"/>
        <v>0</v>
      </c>
      <c r="CG57" s="92">
        <f t="shared" si="300"/>
        <v>0</v>
      </c>
      <c r="CH57" s="92">
        <f t="shared" si="300"/>
        <v>0</v>
      </c>
      <c r="CI57" s="92">
        <f t="shared" si="300"/>
        <v>0</v>
      </c>
      <c r="CJ57" s="92">
        <f t="shared" si="300"/>
        <v>0</v>
      </c>
      <c r="CK57" s="92">
        <f t="shared" si="300"/>
        <v>0</v>
      </c>
      <c r="CL57" s="92">
        <f t="shared" si="300"/>
        <v>0</v>
      </c>
      <c r="CM57" s="92">
        <f t="shared" si="300"/>
        <v>0</v>
      </c>
      <c r="CN57" s="92">
        <f t="shared" si="300"/>
        <v>0</v>
      </c>
      <c r="CO57" s="92">
        <f t="shared" si="300"/>
        <v>0</v>
      </c>
      <c r="CP57" s="110">
        <f t="shared" si="300"/>
        <v>0</v>
      </c>
      <c r="CQ57" s="92">
        <f t="shared" si="293"/>
        <v>0</v>
      </c>
      <c r="CR57" s="86"/>
      <c r="CS57" s="86"/>
      <c r="CT57" s="86"/>
      <c r="CU57" s="86"/>
      <c r="CV57" s="86"/>
      <c r="CW57" s="86"/>
      <c r="CX57" s="86"/>
      <c r="CY57" s="86"/>
      <c r="CZ57" s="86"/>
      <c r="DA57" s="86"/>
      <c r="DB57" s="86"/>
      <c r="DC57" s="86"/>
      <c r="DD57" s="86"/>
      <c r="DE57" s="86"/>
      <c r="DF57" s="86"/>
      <c r="DG57" s="86"/>
      <c r="DH57" s="86"/>
      <c r="DI57" s="86"/>
      <c r="DJ57" s="86"/>
      <c r="DK57" s="86"/>
    </row>
    <row r="58" spans="1:115" ht="14.25" customHeight="1" outlineLevel="1" x14ac:dyDescent="0.4">
      <c r="A58" s="94">
        <v>11</v>
      </c>
      <c r="B58" s="95" t="s">
        <v>98</v>
      </c>
      <c r="C58" s="38">
        <f>SUM(E58:CQ58)-Q58-AD58-AQ58-BD58-BQ58-CD58-CQ58</f>
        <v>-350000</v>
      </c>
      <c r="D58" s="44"/>
      <c r="E58" s="87">
        <v>-350000</v>
      </c>
      <c r="F58" s="95"/>
      <c r="G58" s="87"/>
      <c r="H58" s="87"/>
      <c r="I58" s="87"/>
      <c r="J58" s="87"/>
      <c r="K58" s="87"/>
      <c r="L58" s="87"/>
      <c r="M58" s="87"/>
      <c r="N58" s="95"/>
      <c r="O58" s="87"/>
      <c r="P58" s="87"/>
      <c r="Q58" s="89">
        <f>SUM(E58:P58)</f>
        <v>-350000</v>
      </c>
      <c r="R58" s="87"/>
      <c r="S58" s="87"/>
      <c r="T58" s="87"/>
      <c r="U58" s="87"/>
      <c r="V58" s="87"/>
      <c r="W58" s="87"/>
      <c r="X58" s="87"/>
      <c r="Y58" s="87"/>
      <c r="Z58" s="87"/>
      <c r="AA58" s="87"/>
      <c r="AB58" s="87"/>
      <c r="AC58" s="87"/>
      <c r="AD58" s="89">
        <f>SUM(R58:AC58)</f>
        <v>0</v>
      </c>
      <c r="AE58" s="87"/>
      <c r="AF58" s="87"/>
      <c r="AG58" s="87"/>
      <c r="AH58" s="87"/>
      <c r="AI58" s="87"/>
      <c r="AJ58" s="95"/>
      <c r="AK58" s="87"/>
      <c r="AL58" s="87"/>
      <c r="AM58" s="95"/>
      <c r="AN58" s="87"/>
      <c r="AO58" s="87"/>
      <c r="AP58" s="87"/>
      <c r="AQ58" s="89">
        <f>SUM(AE58:AP58)</f>
        <v>0</v>
      </c>
      <c r="AR58" s="87"/>
      <c r="AS58" s="87"/>
      <c r="AT58" s="87"/>
      <c r="AU58" s="87"/>
      <c r="AV58" s="87"/>
      <c r="AW58" s="87"/>
      <c r="AX58" s="87"/>
      <c r="AY58" s="87"/>
      <c r="AZ58" s="87"/>
      <c r="BA58" s="87"/>
      <c r="BB58" s="87"/>
      <c r="BC58" s="87"/>
      <c r="BD58" s="89">
        <f>SUM(AR58:BC58)</f>
        <v>0</v>
      </c>
      <c r="BE58" s="87"/>
      <c r="BF58" s="87"/>
      <c r="BG58" s="87"/>
      <c r="BH58" s="87"/>
      <c r="BI58" s="87"/>
      <c r="BJ58" s="87"/>
      <c r="BK58" s="87"/>
      <c r="BL58" s="87"/>
      <c r="BM58" s="87"/>
      <c r="BN58" s="87"/>
      <c r="BO58" s="87"/>
      <c r="BP58" s="87"/>
      <c r="BQ58" s="89">
        <f>SUM(BE58:BP58)</f>
        <v>0</v>
      </c>
      <c r="BR58" s="87"/>
      <c r="BS58" s="87"/>
      <c r="BT58" s="87"/>
      <c r="BU58" s="87"/>
      <c r="BV58" s="87"/>
      <c r="BW58" s="87"/>
      <c r="BX58" s="87"/>
      <c r="BY58" s="87"/>
      <c r="BZ58" s="87"/>
      <c r="CA58" s="87"/>
      <c r="CB58" s="87"/>
      <c r="CC58" s="87"/>
      <c r="CD58" s="89">
        <f>SUM(BR58:CC58)</f>
        <v>0</v>
      </c>
      <c r="CE58" s="87"/>
      <c r="CF58" s="87"/>
      <c r="CG58" s="87"/>
      <c r="CH58" s="87"/>
      <c r="CI58" s="87"/>
      <c r="CJ58" s="87"/>
      <c r="CK58" s="87"/>
      <c r="CL58" s="87"/>
      <c r="CM58" s="87"/>
      <c r="CN58" s="87"/>
      <c r="CO58" s="87"/>
      <c r="CP58" s="38"/>
      <c r="CQ58" s="88">
        <f>SUM(CE58:CP58)</f>
        <v>0</v>
      </c>
      <c r="CR58" s="95"/>
      <c r="CS58" s="95"/>
      <c r="CT58" s="95"/>
      <c r="CU58" s="95"/>
      <c r="CV58" s="95"/>
      <c r="CW58" s="95"/>
      <c r="CX58" s="95"/>
      <c r="CY58" s="95"/>
      <c r="CZ58" s="95"/>
      <c r="DA58" s="95"/>
      <c r="DB58" s="95"/>
      <c r="DC58" s="95"/>
      <c r="DD58" s="95"/>
      <c r="DE58" s="95"/>
      <c r="DF58" s="95"/>
      <c r="DG58" s="95"/>
      <c r="DH58" s="95"/>
      <c r="DI58" s="95"/>
      <c r="DJ58" s="95"/>
      <c r="DK58" s="95"/>
    </row>
    <row r="59" spans="1:115" ht="14.25" customHeight="1" outlineLevel="1" x14ac:dyDescent="0.4">
      <c r="A59" s="94">
        <v>12</v>
      </c>
      <c r="B59" s="95" t="s">
        <v>99</v>
      </c>
      <c r="C59" s="38">
        <f>SUM(E59:CQ59)-Q59-AD59-AQ59-BD59-BQ59-CD59-CQ59</f>
        <v>-10500000</v>
      </c>
      <c r="D59" s="44"/>
      <c r="E59" s="87"/>
      <c r="F59" s="87">
        <v>-2100000</v>
      </c>
      <c r="G59" s="87"/>
      <c r="H59" s="95"/>
      <c r="I59" s="87"/>
      <c r="J59" s="95"/>
      <c r="K59" s="87"/>
      <c r="M59" s="87"/>
      <c r="N59" s="95"/>
      <c r="O59" s="87"/>
      <c r="P59" s="95"/>
      <c r="Q59" s="89">
        <f>SUM(E59:O59)</f>
        <v>-2100000</v>
      </c>
      <c r="R59" s="95"/>
      <c r="S59" s="87">
        <v>-2100000</v>
      </c>
      <c r="T59" s="87"/>
      <c r="U59" s="87"/>
      <c r="V59" s="87"/>
      <c r="W59" s="95"/>
      <c r="X59" s="87">
        <v>-2100000</v>
      </c>
      <c r="Y59" s="87"/>
      <c r="Z59" s="87"/>
      <c r="AA59" s="87">
        <v>-2100000</v>
      </c>
      <c r="AC59" s="95"/>
      <c r="AD59" s="89">
        <f>SUM(L59:AA59)</f>
        <v>-8400000</v>
      </c>
      <c r="AE59" s="87"/>
      <c r="AG59" s="87"/>
      <c r="AH59" s="87"/>
      <c r="AI59" s="95"/>
      <c r="AK59" s="87">
        <v>-2100000</v>
      </c>
      <c r="AL59" s="95"/>
      <c r="AM59" s="87"/>
      <c r="AN59" s="87"/>
      <c r="AO59" s="87"/>
      <c r="AQ59" s="89">
        <f>SUM(AE59:AO59)</f>
        <v>-2100000</v>
      </c>
      <c r="AR59" s="87"/>
      <c r="AS59" s="87"/>
      <c r="AT59" s="87"/>
      <c r="AU59" s="87"/>
      <c r="AV59" s="87"/>
      <c r="AW59" s="95"/>
      <c r="AX59" s="87"/>
      <c r="AY59" s="87"/>
      <c r="AZ59" s="87"/>
      <c r="BA59" s="87"/>
      <c r="BB59" s="95"/>
      <c r="BC59" s="87"/>
      <c r="BD59" s="89">
        <f>SUM(AR59:BC59)</f>
        <v>0</v>
      </c>
      <c r="BE59" s="87"/>
      <c r="BF59" s="87"/>
      <c r="BG59" s="87"/>
      <c r="BH59" s="87"/>
      <c r="BI59" s="87"/>
      <c r="BJ59" s="87"/>
      <c r="BK59" s="87"/>
      <c r="BL59" s="87"/>
      <c r="BM59" s="87"/>
      <c r="BN59" s="87"/>
      <c r="BO59" s="87"/>
      <c r="BP59" s="87"/>
      <c r="BQ59" s="89">
        <f>SUM(BE59:BP59)</f>
        <v>0</v>
      </c>
      <c r="BR59" s="87"/>
      <c r="BS59" s="87"/>
      <c r="BT59" s="87"/>
      <c r="BU59" s="87"/>
      <c r="BV59" s="87"/>
      <c r="BW59" s="87"/>
      <c r="BX59" s="87"/>
      <c r="BY59" s="87"/>
      <c r="BZ59" s="87"/>
      <c r="CA59" s="87"/>
      <c r="CB59" s="87"/>
      <c r="CC59" s="87"/>
      <c r="CD59" s="89">
        <f>SUM(BR59:CC59)</f>
        <v>0</v>
      </c>
      <c r="CE59" s="87"/>
      <c r="CF59" s="87"/>
      <c r="CG59" s="87"/>
      <c r="CH59" s="87"/>
      <c r="CI59" s="87"/>
      <c r="CJ59" s="87"/>
      <c r="CK59" s="87"/>
      <c r="CL59" s="87"/>
      <c r="CM59" s="87"/>
      <c r="CN59" s="87"/>
      <c r="CO59" s="87"/>
      <c r="CP59" s="38"/>
      <c r="CQ59" s="88">
        <f>SUM(CE59:CP59)</f>
        <v>0</v>
      </c>
      <c r="CR59" s="95"/>
      <c r="CS59" s="95"/>
      <c r="CT59" s="95"/>
      <c r="CU59" s="95"/>
      <c r="CV59" s="95"/>
      <c r="CW59" s="95"/>
      <c r="CX59" s="95"/>
      <c r="CY59" s="95"/>
      <c r="CZ59" s="95"/>
      <c r="DA59" s="95"/>
      <c r="DB59" s="95"/>
      <c r="DC59" s="95"/>
      <c r="DD59" s="95"/>
      <c r="DE59" s="95"/>
      <c r="DF59" s="95"/>
      <c r="DG59" s="95"/>
      <c r="DH59" s="95"/>
      <c r="DI59" s="95"/>
      <c r="DJ59" s="95"/>
      <c r="DK59" s="95"/>
    </row>
    <row r="60" spans="1:115" ht="14.25" customHeight="1" outlineLevel="1" x14ac:dyDescent="0.4">
      <c r="A60" s="94">
        <v>13</v>
      </c>
      <c r="B60" s="426" t="s">
        <v>618</v>
      </c>
      <c r="C60" s="38">
        <f t="shared" si="283"/>
        <v>-600000</v>
      </c>
      <c r="D60" s="87"/>
      <c r="E60" s="87">
        <v>-600000</v>
      </c>
      <c r="H60" s="87"/>
      <c r="I60" s="87"/>
      <c r="J60" s="87"/>
      <c r="K60" s="87"/>
      <c r="L60" s="87"/>
      <c r="M60" s="87"/>
      <c r="N60" s="87"/>
      <c r="O60" s="87"/>
      <c r="P60" s="87"/>
      <c r="Q60" s="89">
        <f t="shared" si="287"/>
        <v>-600000</v>
      </c>
      <c r="R60" s="87"/>
      <c r="S60" s="87"/>
      <c r="T60" s="87"/>
      <c r="U60" s="87"/>
      <c r="V60" s="87"/>
      <c r="W60" s="87"/>
      <c r="X60" s="87"/>
      <c r="Y60" s="87"/>
      <c r="Z60" s="87"/>
      <c r="AA60" s="87"/>
      <c r="AB60" s="87"/>
      <c r="AC60" s="87"/>
      <c r="AD60" s="89">
        <f t="shared" si="288"/>
        <v>0</v>
      </c>
      <c r="AE60" s="87"/>
      <c r="AF60" s="87"/>
      <c r="AG60" s="87"/>
      <c r="AH60" s="87"/>
      <c r="AI60" s="87"/>
      <c r="AJ60" s="87"/>
      <c r="AK60" s="87"/>
      <c r="AL60" s="87"/>
      <c r="AM60" s="87"/>
      <c r="AN60" s="87"/>
      <c r="AO60" s="87"/>
      <c r="AP60" s="87"/>
      <c r="AQ60" s="89">
        <f t="shared" si="289"/>
        <v>0</v>
      </c>
      <c r="AR60" s="87"/>
      <c r="AS60" s="87"/>
      <c r="AT60" s="87"/>
      <c r="AU60" s="87"/>
      <c r="AV60" s="87"/>
      <c r="AW60" s="87"/>
      <c r="AX60" s="87"/>
      <c r="AY60" s="87"/>
      <c r="AZ60" s="87"/>
      <c r="BA60" s="87"/>
      <c r="BB60" s="87"/>
      <c r="BC60" s="87"/>
      <c r="BD60" s="89">
        <f t="shared" si="290"/>
        <v>0</v>
      </c>
      <c r="BE60" s="87"/>
      <c r="BF60" s="87"/>
      <c r="BG60" s="87"/>
      <c r="BH60" s="87"/>
      <c r="BI60" s="87"/>
      <c r="BJ60" s="87"/>
      <c r="BK60" s="87"/>
      <c r="BL60" s="87"/>
      <c r="BM60" s="87"/>
      <c r="BN60" s="87"/>
      <c r="BO60" s="87"/>
      <c r="BP60" s="87"/>
      <c r="BQ60" s="89">
        <f t="shared" si="291"/>
        <v>0</v>
      </c>
      <c r="BR60" s="87"/>
      <c r="BS60" s="87"/>
      <c r="BT60" s="87"/>
      <c r="BU60" s="87"/>
      <c r="BV60" s="87"/>
      <c r="BW60" s="87"/>
      <c r="BX60" s="87"/>
      <c r="BY60" s="87"/>
      <c r="BZ60" s="87"/>
      <c r="CA60" s="87"/>
      <c r="CB60" s="87"/>
      <c r="CC60" s="87"/>
      <c r="CD60" s="89">
        <f t="shared" si="292"/>
        <v>0</v>
      </c>
      <c r="CE60" s="87"/>
      <c r="CF60" s="87"/>
      <c r="CG60" s="87"/>
      <c r="CH60" s="87"/>
      <c r="CI60" s="87"/>
      <c r="CJ60" s="87"/>
      <c r="CK60" s="87"/>
      <c r="CL60" s="87"/>
      <c r="CM60" s="87"/>
      <c r="CN60" s="87"/>
      <c r="CO60" s="87"/>
      <c r="CP60" s="38"/>
      <c r="CQ60" s="88">
        <f t="shared" si="293"/>
        <v>0</v>
      </c>
      <c r="CR60" s="95"/>
      <c r="CS60" s="95"/>
      <c r="CT60" s="95"/>
      <c r="CU60" s="95"/>
      <c r="CV60" s="95"/>
      <c r="CW60" s="95"/>
      <c r="CX60" s="95"/>
      <c r="CY60" s="95"/>
      <c r="CZ60" s="95"/>
      <c r="DA60" s="95"/>
      <c r="DB60" s="95"/>
      <c r="DC60" s="95"/>
      <c r="DD60" s="95"/>
      <c r="DE60" s="95"/>
      <c r="DF60" s="95"/>
      <c r="DG60" s="95"/>
      <c r="DH60" s="95"/>
      <c r="DI60" s="95"/>
      <c r="DJ60" s="95"/>
      <c r="DK60" s="95"/>
    </row>
    <row r="61" spans="1:115" ht="15" customHeight="1" outlineLevel="1" x14ac:dyDescent="0.4">
      <c r="A61" s="94"/>
      <c r="B61" s="95" t="s">
        <v>100</v>
      </c>
      <c r="C61" s="38">
        <f t="shared" si="283"/>
        <v>-317840</v>
      </c>
      <c r="D61" s="95"/>
      <c r="E61" s="87">
        <v>-158920</v>
      </c>
      <c r="F61" s="87">
        <v>-158920</v>
      </c>
      <c r="G61" s="87"/>
      <c r="H61" s="87"/>
      <c r="I61" s="87"/>
      <c r="J61" s="87"/>
      <c r="K61" s="87"/>
      <c r="L61" s="87"/>
      <c r="M61" s="87"/>
      <c r="N61" s="87"/>
      <c r="O61" s="87"/>
      <c r="P61" s="87"/>
      <c r="Q61" s="89">
        <f t="shared" ref="Q61:Q62" si="301">SUM(E61:P61)</f>
        <v>-317840</v>
      </c>
      <c r="R61" s="87"/>
      <c r="S61" s="87"/>
      <c r="T61" s="87"/>
      <c r="U61" s="87"/>
      <c r="V61" s="87"/>
      <c r="W61" s="87"/>
      <c r="X61" s="87"/>
      <c r="Y61" s="87"/>
      <c r="Z61" s="87"/>
      <c r="AA61" s="87"/>
      <c r="AB61" s="87"/>
      <c r="AC61" s="87"/>
      <c r="AD61" s="89">
        <f t="shared" ref="AD61:AD62" si="302">SUM(R61:AC61)</f>
        <v>0</v>
      </c>
      <c r="AE61" s="87"/>
      <c r="AF61" s="87"/>
      <c r="AG61" s="87"/>
      <c r="AH61" s="87"/>
      <c r="AI61" s="87"/>
      <c r="AJ61" s="87"/>
      <c r="AK61" s="87"/>
      <c r="AL61" s="87"/>
      <c r="AM61" s="87"/>
      <c r="AN61" s="87"/>
      <c r="AO61" s="87"/>
      <c r="AP61" s="87"/>
      <c r="AQ61" s="89">
        <f t="shared" ref="AQ61:AQ71" si="303">SUM(AE61:AP61)</f>
        <v>0</v>
      </c>
      <c r="AR61" s="87"/>
      <c r="AS61" s="87"/>
      <c r="AT61" s="87"/>
      <c r="AU61" s="87"/>
      <c r="AV61" s="87"/>
      <c r="AW61" s="87"/>
      <c r="AX61" s="87"/>
      <c r="AY61" s="87"/>
      <c r="AZ61" s="87"/>
      <c r="BA61" s="87"/>
      <c r="BB61" s="87"/>
      <c r="BC61" s="87"/>
      <c r="BD61" s="89"/>
      <c r="BE61" s="87"/>
      <c r="BF61" s="87"/>
      <c r="BG61" s="87"/>
      <c r="BH61" s="87"/>
      <c r="BI61" s="87"/>
      <c r="BJ61" s="87"/>
      <c r="BK61" s="87"/>
      <c r="BL61" s="87"/>
      <c r="BM61" s="87"/>
      <c r="BN61" s="87"/>
      <c r="BO61" s="87"/>
      <c r="BP61" s="87"/>
      <c r="BQ61" s="89">
        <f t="shared" si="291"/>
        <v>0</v>
      </c>
      <c r="BR61" s="87"/>
      <c r="BS61" s="87"/>
      <c r="BT61" s="87"/>
      <c r="BU61" s="87"/>
      <c r="BV61" s="87"/>
      <c r="BW61" s="87"/>
      <c r="BX61" s="87"/>
      <c r="BY61" s="87"/>
      <c r="BZ61" s="87"/>
      <c r="CA61" s="87"/>
      <c r="CB61" s="87"/>
      <c r="CC61" s="87"/>
      <c r="CD61" s="89">
        <f t="shared" si="292"/>
        <v>0</v>
      </c>
      <c r="CE61" s="87"/>
      <c r="CF61" s="87"/>
      <c r="CG61" s="87"/>
      <c r="CH61" s="87"/>
      <c r="CI61" s="87"/>
      <c r="CJ61" s="87"/>
      <c r="CK61" s="87"/>
      <c r="CL61" s="87"/>
      <c r="CM61" s="87"/>
      <c r="CN61" s="87"/>
      <c r="CO61" s="87"/>
      <c r="CP61" s="38"/>
      <c r="CQ61" s="88">
        <f t="shared" si="293"/>
        <v>0</v>
      </c>
      <c r="CR61" s="95"/>
      <c r="CS61" s="95"/>
      <c r="CT61" s="95"/>
      <c r="CU61" s="95"/>
      <c r="CV61" s="95"/>
      <c r="CW61" s="95"/>
      <c r="CX61" s="95"/>
      <c r="CY61" s="95"/>
      <c r="CZ61" s="95"/>
      <c r="DA61" s="95"/>
      <c r="DB61" s="95"/>
      <c r="DC61" s="95"/>
      <c r="DD61" s="95"/>
      <c r="DE61" s="95"/>
      <c r="DF61" s="95"/>
      <c r="DG61" s="95"/>
      <c r="DH61" s="95"/>
      <c r="DI61" s="95"/>
      <c r="DJ61" s="95"/>
      <c r="DK61" s="95"/>
    </row>
    <row r="62" spans="1:115" ht="13.5" customHeight="1" outlineLevel="1" x14ac:dyDescent="0.4">
      <c r="A62" s="94"/>
      <c r="B62" s="598" t="s">
        <v>550</v>
      </c>
      <c r="C62" s="38">
        <f t="shared" si="283"/>
        <v>-330640</v>
      </c>
      <c r="D62" s="44"/>
      <c r="E62" s="87">
        <v>-165320</v>
      </c>
      <c r="F62" s="87">
        <v>-165320</v>
      </c>
      <c r="G62" s="95"/>
      <c r="H62" s="95"/>
      <c r="I62" s="95"/>
      <c r="J62" s="95"/>
      <c r="K62" s="87"/>
      <c r="L62" s="87"/>
      <c r="M62" s="87"/>
      <c r="N62" s="87"/>
      <c r="O62" s="87"/>
      <c r="P62" s="87"/>
      <c r="Q62" s="89">
        <f t="shared" si="301"/>
        <v>-330640</v>
      </c>
      <c r="R62" s="87"/>
      <c r="S62" s="87"/>
      <c r="T62" s="87"/>
      <c r="U62" s="87"/>
      <c r="V62" s="87"/>
      <c r="W62" s="87"/>
      <c r="X62" s="87"/>
      <c r="Y62" s="87"/>
      <c r="Z62" s="87"/>
      <c r="AA62" s="87"/>
      <c r="AB62" s="87"/>
      <c r="AC62" s="87"/>
      <c r="AD62" s="89">
        <f t="shared" si="302"/>
        <v>0</v>
      </c>
      <c r="AE62" s="87"/>
      <c r="AF62" s="87"/>
      <c r="AG62" s="87"/>
      <c r="AH62" s="87"/>
      <c r="AI62" s="87"/>
      <c r="AJ62" s="87"/>
      <c r="AK62" s="87"/>
      <c r="AL62" s="87"/>
      <c r="AM62" s="87"/>
      <c r="AN62" s="87"/>
      <c r="AO62" s="87"/>
      <c r="AP62" s="87"/>
      <c r="AQ62" s="89">
        <f t="shared" si="303"/>
        <v>0</v>
      </c>
      <c r="AR62" s="87"/>
      <c r="AS62" s="87"/>
      <c r="AT62" s="87"/>
      <c r="AU62" s="87"/>
      <c r="AV62" s="87"/>
      <c r="AW62" s="87"/>
      <c r="AX62" s="87"/>
      <c r="AY62" s="87"/>
      <c r="AZ62" s="87"/>
      <c r="BA62" s="87"/>
      <c r="BB62" s="87"/>
      <c r="BC62" s="87"/>
      <c r="BD62" s="89">
        <f>SUM(AR62:BC62)</f>
        <v>0</v>
      </c>
      <c r="BE62" s="87"/>
      <c r="BF62" s="87"/>
      <c r="BG62" s="87"/>
      <c r="BH62" s="87"/>
      <c r="BI62" s="87"/>
      <c r="BJ62" s="87"/>
      <c r="BK62" s="87"/>
      <c r="BL62" s="87"/>
      <c r="BM62" s="87"/>
      <c r="BN62" s="87"/>
      <c r="BO62" s="87"/>
      <c r="BP62" s="87"/>
      <c r="BQ62" s="89">
        <f t="shared" si="291"/>
        <v>0</v>
      </c>
      <c r="BR62" s="87"/>
      <c r="BS62" s="87"/>
      <c r="BT62" s="87"/>
      <c r="BU62" s="87"/>
      <c r="BV62" s="87"/>
      <c r="BW62" s="87"/>
      <c r="BX62" s="87"/>
      <c r="BY62" s="87"/>
      <c r="BZ62" s="87"/>
      <c r="CA62" s="87"/>
      <c r="CB62" s="87"/>
      <c r="CC62" s="87"/>
      <c r="CD62" s="89">
        <f t="shared" si="292"/>
        <v>0</v>
      </c>
      <c r="CE62" s="87"/>
      <c r="CF62" s="87"/>
      <c r="CG62" s="87"/>
      <c r="CH62" s="87"/>
      <c r="CI62" s="87"/>
      <c r="CJ62" s="87"/>
      <c r="CK62" s="87"/>
      <c r="CL62" s="87"/>
      <c r="CM62" s="87"/>
      <c r="CN62" s="87"/>
      <c r="CO62" s="87"/>
      <c r="CP62" s="38"/>
      <c r="CQ62" s="88">
        <f t="shared" si="293"/>
        <v>0</v>
      </c>
      <c r="CR62" s="95"/>
      <c r="CS62" s="95"/>
      <c r="CT62" s="95"/>
      <c r="CU62" s="95"/>
      <c r="CV62" s="95"/>
      <c r="CW62" s="95"/>
      <c r="CX62" s="95"/>
      <c r="CY62" s="95"/>
      <c r="CZ62" s="95"/>
      <c r="DA62" s="95"/>
      <c r="DB62" s="95"/>
      <c r="DC62" s="95"/>
      <c r="DD62" s="95"/>
      <c r="DE62" s="95"/>
      <c r="DF62" s="95"/>
      <c r="DG62" s="95"/>
      <c r="DH62" s="95"/>
      <c r="DI62" s="95"/>
      <c r="DJ62" s="95"/>
      <c r="DK62" s="95"/>
    </row>
    <row r="63" spans="1:115" ht="13.5" customHeight="1" outlineLevel="1" x14ac:dyDescent="0.4">
      <c r="A63" s="105"/>
      <c r="B63" s="105" t="s">
        <v>101</v>
      </c>
      <c r="C63" s="105"/>
      <c r="D63" s="105"/>
      <c r="E63" s="105"/>
      <c r="F63" s="105"/>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c r="AH63" s="105"/>
      <c r="AI63" s="105"/>
      <c r="AJ63" s="105"/>
      <c r="AK63" s="105"/>
      <c r="AL63" s="105"/>
      <c r="AM63" s="105"/>
      <c r="AN63" s="105"/>
      <c r="AO63" s="105"/>
      <c r="AP63" s="105"/>
      <c r="AQ63" s="105">
        <f t="shared" si="303"/>
        <v>0</v>
      </c>
      <c r="AR63" s="105"/>
      <c r="AS63" s="105"/>
      <c r="AT63" s="105"/>
      <c r="AU63" s="105"/>
      <c r="AV63" s="105"/>
      <c r="AW63" s="105"/>
      <c r="AX63" s="105"/>
      <c r="AY63" s="105"/>
      <c r="AZ63" s="105"/>
      <c r="BA63" s="105"/>
      <c r="BB63" s="105"/>
      <c r="BC63" s="105"/>
      <c r="BD63" s="105"/>
      <c r="BE63" s="105"/>
      <c r="BF63" s="105"/>
      <c r="BG63" s="105"/>
      <c r="BH63" s="105"/>
      <c r="BI63" s="105"/>
      <c r="BJ63" s="105"/>
      <c r="BK63" s="105"/>
      <c r="BL63" s="105"/>
      <c r="BM63" s="105"/>
      <c r="BN63" s="105"/>
      <c r="BO63" s="105"/>
      <c r="BP63" s="105"/>
      <c r="BQ63" s="105"/>
      <c r="BR63" s="105"/>
      <c r="BS63" s="105"/>
      <c r="BT63" s="105"/>
      <c r="BU63" s="105"/>
      <c r="BV63" s="105"/>
      <c r="BW63" s="105"/>
      <c r="BX63" s="105"/>
      <c r="BY63" s="105"/>
      <c r="BZ63" s="105"/>
      <c r="CA63" s="105"/>
      <c r="CB63" s="105"/>
      <c r="CC63" s="105"/>
      <c r="CD63" s="559"/>
      <c r="CE63" s="105"/>
      <c r="CF63" s="105"/>
      <c r="CG63" s="105"/>
      <c r="CH63" s="105"/>
      <c r="CI63" s="105"/>
      <c r="CJ63" s="105"/>
      <c r="CK63" s="105"/>
      <c r="CL63" s="105"/>
      <c r="CM63" s="105"/>
      <c r="CN63" s="105"/>
      <c r="CO63" s="105"/>
      <c r="CP63" s="553"/>
      <c r="CQ63" s="106"/>
      <c r="CR63" s="95"/>
      <c r="CS63" s="95"/>
      <c r="CT63" s="95"/>
      <c r="CU63" s="95"/>
      <c r="CV63" s="95"/>
      <c r="CW63" s="95"/>
      <c r="CX63" s="95"/>
      <c r="CY63" s="95"/>
      <c r="CZ63" s="95"/>
      <c r="DA63" s="95"/>
      <c r="DB63" s="95"/>
      <c r="DC63" s="95"/>
      <c r="DD63" s="95"/>
      <c r="DE63" s="95"/>
      <c r="DF63" s="95"/>
      <c r="DG63" s="95"/>
      <c r="DH63" s="95"/>
      <c r="DI63" s="95"/>
      <c r="DJ63" s="95"/>
      <c r="DK63" s="95"/>
    </row>
    <row r="64" spans="1:115" ht="13.5" customHeight="1" outlineLevel="1" x14ac:dyDescent="0.4">
      <c r="A64" s="94"/>
      <c r="B64" s="11" t="s">
        <v>619</v>
      </c>
      <c r="C64" s="39">
        <f>SUM(G64:CQ64)-Q64-AD64-AQ64-BD64-BQ64-CD64-CQ64</f>
        <v>-7421811.7200000007</v>
      </c>
      <c r="D64" s="87"/>
      <c r="E64" s="95"/>
      <c r="F64" s="95"/>
      <c r="G64" s="95"/>
      <c r="H64" s="95"/>
      <c r="I64" s="517">
        <f>-'AFE for Wells'!F33*3</f>
        <v>-7421811.7200000007</v>
      </c>
      <c r="J64" s="610"/>
      <c r="K64" s="610"/>
      <c r="L64" s="610"/>
      <c r="M64" s="95"/>
      <c r="N64" s="95"/>
      <c r="O64" s="87"/>
      <c r="P64" s="87"/>
      <c r="Q64" s="89">
        <f>SUM(G64:P64)</f>
        <v>-7421811.7200000007</v>
      </c>
      <c r="R64" s="87"/>
      <c r="S64" s="87"/>
      <c r="T64" s="87"/>
      <c r="U64" s="87"/>
      <c r="V64" s="87"/>
      <c r="W64" s="87"/>
      <c r="X64" s="87"/>
      <c r="Y64" s="87"/>
      <c r="Z64" s="87"/>
      <c r="AA64" s="87"/>
      <c r="AB64" s="87"/>
      <c r="AC64" s="87"/>
      <c r="AD64" s="89">
        <f t="shared" ref="AD64:AD85" si="304">SUM(R64:AC64)</f>
        <v>0</v>
      </c>
      <c r="AE64" s="87"/>
      <c r="AF64" s="87"/>
      <c r="AG64" s="87"/>
      <c r="AH64" s="87"/>
      <c r="AI64" s="87"/>
      <c r="AJ64" s="87"/>
      <c r="AK64" s="87"/>
      <c r="AL64" s="87"/>
      <c r="AM64" s="87"/>
      <c r="AN64" s="87"/>
      <c r="AO64" s="87"/>
      <c r="AP64" s="87"/>
      <c r="AQ64" s="89">
        <f t="shared" si="303"/>
        <v>0</v>
      </c>
      <c r="AR64" s="87"/>
      <c r="AS64" s="87"/>
      <c r="AT64" s="87"/>
      <c r="AU64" s="87"/>
      <c r="AV64" s="87"/>
      <c r="AW64" s="87"/>
      <c r="AX64" s="87"/>
      <c r="AY64" s="87"/>
      <c r="AZ64" s="87"/>
      <c r="BA64" s="87"/>
      <c r="BB64" s="87"/>
      <c r="BC64" s="87"/>
      <c r="BD64" s="89">
        <f t="shared" ref="BD64:BD80" si="305">SUM(AR64:BC64)</f>
        <v>0</v>
      </c>
      <c r="BE64" s="87"/>
      <c r="BF64" s="87"/>
      <c r="BG64" s="87"/>
      <c r="BH64" s="87"/>
      <c r="BI64" s="87"/>
      <c r="BJ64" s="87"/>
      <c r="BK64" s="87"/>
      <c r="BL64" s="87"/>
      <c r="BM64" s="87"/>
      <c r="BN64" s="87"/>
      <c r="BO64" s="87"/>
      <c r="BP64" s="87"/>
      <c r="BQ64" s="89">
        <f t="shared" ref="BQ64:BQ103" si="306">SUM(BE64:BP64)</f>
        <v>0</v>
      </c>
      <c r="BR64" s="87"/>
      <c r="BS64" s="87"/>
      <c r="BT64" s="87"/>
      <c r="BU64" s="87"/>
      <c r="BV64" s="87"/>
      <c r="BW64" s="87"/>
      <c r="BX64" s="87"/>
      <c r="BY64" s="87"/>
      <c r="BZ64" s="87"/>
      <c r="CA64" s="87"/>
      <c r="CB64" s="87"/>
      <c r="CC64" s="87"/>
      <c r="CD64" s="89">
        <f t="shared" ref="CD64:CD104" si="307">SUM(BR64:CC64)</f>
        <v>0</v>
      </c>
      <c r="CE64" s="87"/>
      <c r="CF64" s="87"/>
      <c r="CG64" s="87"/>
      <c r="CH64" s="87"/>
      <c r="CI64" s="87"/>
      <c r="CJ64" s="87"/>
      <c r="CK64" s="87"/>
      <c r="CL64" s="87"/>
      <c r="CM64" s="87"/>
      <c r="CN64" s="87"/>
      <c r="CO64" s="87"/>
      <c r="CP64" s="38"/>
      <c r="CQ64" s="88">
        <f t="shared" ref="CQ64:CQ104" si="308">SUM(CE64:CP64)</f>
        <v>0</v>
      </c>
      <c r="CR64" s="95"/>
      <c r="CS64" s="95"/>
      <c r="CT64" s="95"/>
      <c r="CU64" s="95"/>
      <c r="CV64" s="95"/>
      <c r="CW64" s="95"/>
      <c r="CX64" s="95"/>
      <c r="CY64" s="95"/>
      <c r="CZ64" s="95"/>
      <c r="DA64" s="95"/>
      <c r="DB64" s="95"/>
      <c r="DC64" s="95"/>
      <c r="DD64" s="95"/>
      <c r="DE64" s="95"/>
      <c r="DF64" s="95"/>
      <c r="DG64" s="95"/>
      <c r="DH64" s="95"/>
      <c r="DI64" s="95"/>
      <c r="DJ64" s="95"/>
      <c r="DK64" s="95"/>
    </row>
    <row r="65" spans="1:115" ht="14.25" customHeight="1" outlineLevel="1" x14ac:dyDescent="0.4">
      <c r="A65" s="94"/>
      <c r="B65" s="11" t="s">
        <v>610</v>
      </c>
      <c r="C65" s="38">
        <f>SUM(I65:CQ65)-Q65-AD65-AQ65-BD65-BQ65-CD65-CQ65</f>
        <v>-12369686.200000001</v>
      </c>
      <c r="D65" s="87"/>
      <c r="E65" s="95"/>
      <c r="F65" s="95"/>
      <c r="G65" s="95"/>
      <c r="H65" s="95"/>
      <c r="I65" s="87">
        <f>-'AFE for Wells'!F33*5</f>
        <v>-12369686.200000001</v>
      </c>
      <c r="J65" s="611"/>
      <c r="K65" s="611"/>
      <c r="L65" s="611"/>
      <c r="M65" s="611"/>
      <c r="O65" s="87"/>
      <c r="Q65" s="89">
        <f>SUM(I65:O65)</f>
        <v>-12369686.200000001</v>
      </c>
      <c r="R65" s="87"/>
      <c r="S65" s="87"/>
      <c r="T65" s="87"/>
      <c r="U65" s="87"/>
      <c r="V65" s="87"/>
      <c r="W65" s="87"/>
      <c r="X65" s="87"/>
      <c r="Y65" s="87"/>
      <c r="Z65" s="87"/>
      <c r="AA65" s="87"/>
      <c r="AB65" s="87"/>
      <c r="AC65" s="87"/>
      <c r="AD65" s="89">
        <f t="shared" si="304"/>
        <v>0</v>
      </c>
      <c r="AE65" s="87"/>
      <c r="AF65" s="87"/>
      <c r="AG65" s="87"/>
      <c r="AH65" s="87"/>
      <c r="AI65" s="87"/>
      <c r="AJ65" s="87"/>
      <c r="AK65" s="87"/>
      <c r="AL65" s="87"/>
      <c r="AM65" s="87"/>
      <c r="AN65" s="87"/>
      <c r="AO65" s="87"/>
      <c r="AP65" s="87"/>
      <c r="AQ65" s="89">
        <f t="shared" si="303"/>
        <v>0</v>
      </c>
      <c r="AR65" s="87"/>
      <c r="AS65" s="87"/>
      <c r="AT65" s="87"/>
      <c r="AU65" s="87"/>
      <c r="AV65" s="87"/>
      <c r="AW65" s="87"/>
      <c r="AX65" s="87"/>
      <c r="AY65" s="87"/>
      <c r="AZ65" s="87"/>
      <c r="BA65" s="87"/>
      <c r="BB65" s="87"/>
      <c r="BC65" s="87"/>
      <c r="BD65" s="89">
        <f t="shared" si="305"/>
        <v>0</v>
      </c>
      <c r="BE65" s="87"/>
      <c r="BF65" s="87"/>
      <c r="BG65" s="87"/>
      <c r="BH65" s="87"/>
      <c r="BI65" s="87"/>
      <c r="BJ65" s="87"/>
      <c r="BK65" s="87"/>
      <c r="BL65" s="87"/>
      <c r="BM65" s="87"/>
      <c r="BN65" s="87"/>
      <c r="BO65" s="87"/>
      <c r="BP65" s="87"/>
      <c r="BQ65" s="89">
        <f t="shared" si="306"/>
        <v>0</v>
      </c>
      <c r="BR65" s="87"/>
      <c r="BS65" s="87"/>
      <c r="BT65" s="87"/>
      <c r="BU65" s="87"/>
      <c r="BV65" s="87"/>
      <c r="BW65" s="87"/>
      <c r="BX65" s="87"/>
      <c r="BY65" s="87"/>
      <c r="BZ65" s="87"/>
      <c r="CA65" s="87"/>
      <c r="CB65" s="87"/>
      <c r="CC65" s="87"/>
      <c r="CD65" s="89">
        <f t="shared" si="307"/>
        <v>0</v>
      </c>
      <c r="CE65" s="87"/>
      <c r="CF65" s="87"/>
      <c r="CG65" s="87"/>
      <c r="CH65" s="87"/>
      <c r="CI65" s="87"/>
      <c r="CJ65" s="87"/>
      <c r="CK65" s="87"/>
      <c r="CL65" s="87"/>
      <c r="CM65" s="87"/>
      <c r="CN65" s="87"/>
      <c r="CO65" s="87"/>
      <c r="CP65" s="38"/>
      <c r="CQ65" s="88">
        <f t="shared" si="308"/>
        <v>0</v>
      </c>
      <c r="CR65" s="95"/>
      <c r="CS65" s="95"/>
      <c r="CT65" s="95"/>
      <c r="CU65" s="95"/>
      <c r="CV65" s="95"/>
      <c r="CW65" s="95"/>
      <c r="CX65" s="95"/>
      <c r="CY65" s="95"/>
      <c r="CZ65" s="95"/>
      <c r="DA65" s="95"/>
      <c r="DB65" s="95"/>
      <c r="DC65" s="95"/>
      <c r="DD65" s="95"/>
      <c r="DE65" s="95"/>
      <c r="DF65" s="95"/>
      <c r="DG65" s="95"/>
      <c r="DH65" s="95"/>
      <c r="DI65" s="95"/>
      <c r="DJ65" s="95"/>
      <c r="DK65" s="95"/>
    </row>
    <row r="66" spans="1:115" ht="14.25" customHeight="1" outlineLevel="1" x14ac:dyDescent="0.4">
      <c r="A66" s="94">
        <v>14</v>
      </c>
      <c r="B66" s="95" t="s">
        <v>73</v>
      </c>
      <c r="C66" s="38">
        <f t="shared" ref="C66:C82" si="309">SUM(E66:CQ66)-Q66-AD66-AQ66-BD66-BQ66-CD66-CQ66</f>
        <v>-12369686.200000001</v>
      </c>
      <c r="D66" s="87"/>
      <c r="E66" s="95"/>
      <c r="F66" s="95"/>
      <c r="G66" s="95"/>
      <c r="H66" s="95"/>
      <c r="I66" s="95"/>
      <c r="J66" s="95"/>
      <c r="K66" s="95"/>
      <c r="L66" s="87">
        <f>-'AFE for Wells'!$F$33*5</f>
        <v>-12369686.200000001</v>
      </c>
      <c r="M66" s="611"/>
      <c r="N66" s="611"/>
      <c r="O66" s="611"/>
      <c r="Q66" s="89">
        <f>SUM(I66:O66)</f>
        <v>-12369686.200000001</v>
      </c>
      <c r="R66" s="87"/>
      <c r="S66" s="95"/>
      <c r="T66" s="95"/>
      <c r="U66" s="95"/>
      <c r="V66" s="95"/>
      <c r="W66" s="95"/>
      <c r="X66" s="95"/>
      <c r="Y66" s="95"/>
      <c r="Z66" s="95"/>
      <c r="AA66" s="95"/>
      <c r="AB66" s="87"/>
      <c r="AC66" s="87"/>
      <c r="AD66" s="89">
        <f t="shared" si="304"/>
        <v>0</v>
      </c>
      <c r="AE66" s="87"/>
      <c r="AF66" s="87"/>
      <c r="AG66" s="87"/>
      <c r="AH66" s="87"/>
      <c r="AI66" s="87"/>
      <c r="AJ66" s="87"/>
      <c r="AK66" s="87"/>
      <c r="AL66" s="87"/>
      <c r="AM66" s="87"/>
      <c r="AN66" s="87"/>
      <c r="AO66" s="87"/>
      <c r="AP66" s="87"/>
      <c r="AQ66" s="89">
        <f t="shared" si="303"/>
        <v>0</v>
      </c>
      <c r="AR66" s="87"/>
      <c r="AS66" s="87"/>
      <c r="AT66" s="87"/>
      <c r="AU66" s="87"/>
      <c r="AV66" s="87"/>
      <c r="AW66" s="87"/>
      <c r="AX66" s="87"/>
      <c r="AY66" s="87"/>
      <c r="AZ66" s="87"/>
      <c r="BA66" s="87"/>
      <c r="BB66" s="87"/>
      <c r="BC66" s="87"/>
      <c r="BD66" s="89">
        <f t="shared" si="305"/>
        <v>0</v>
      </c>
      <c r="BE66" s="87"/>
      <c r="BF66" s="87"/>
      <c r="BG66" s="87"/>
      <c r="BH66" s="87"/>
      <c r="BI66" s="87"/>
      <c r="BJ66" s="87"/>
      <c r="BK66" s="87"/>
      <c r="BL66" s="87"/>
      <c r="BM66" s="87"/>
      <c r="BN66" s="87"/>
      <c r="BO66" s="87"/>
      <c r="BP66" s="87"/>
      <c r="BQ66" s="89">
        <f t="shared" si="306"/>
        <v>0</v>
      </c>
      <c r="BR66" s="87"/>
      <c r="BS66" s="87"/>
      <c r="BT66" s="87"/>
      <c r="BU66" s="87"/>
      <c r="BV66" s="87"/>
      <c r="BW66" s="87"/>
      <c r="BX66" s="87"/>
      <c r="BY66" s="87"/>
      <c r="BZ66" s="87"/>
      <c r="CA66" s="87"/>
      <c r="CB66" s="87"/>
      <c r="CC66" s="87"/>
      <c r="CD66" s="89">
        <f t="shared" si="307"/>
        <v>0</v>
      </c>
      <c r="CE66" s="87"/>
      <c r="CF66" s="87"/>
      <c r="CG66" s="87"/>
      <c r="CH66" s="87"/>
      <c r="CI66" s="87"/>
      <c r="CJ66" s="87"/>
      <c r="CK66" s="87"/>
      <c r="CL66" s="87"/>
      <c r="CM66" s="87"/>
      <c r="CN66" s="87"/>
      <c r="CO66" s="87"/>
      <c r="CP66" s="38"/>
      <c r="CQ66" s="88">
        <f t="shared" si="308"/>
        <v>0</v>
      </c>
      <c r="CR66" s="95"/>
      <c r="CS66" s="95"/>
      <c r="CT66" s="95"/>
      <c r="CU66" s="95"/>
      <c r="CV66" s="95"/>
      <c r="CW66" s="95"/>
      <c r="CX66" s="95"/>
      <c r="CY66" s="95"/>
      <c r="CZ66" s="95"/>
      <c r="DA66" s="95"/>
      <c r="DB66" s="95"/>
      <c r="DC66" s="95"/>
      <c r="DD66" s="95"/>
      <c r="DE66" s="95"/>
      <c r="DF66" s="95"/>
      <c r="DG66" s="95"/>
      <c r="DH66" s="95"/>
      <c r="DI66" s="95"/>
      <c r="DJ66" s="95"/>
      <c r="DK66" s="95"/>
    </row>
    <row r="67" spans="1:115" ht="14.25" customHeight="1" outlineLevel="1" x14ac:dyDescent="0.4">
      <c r="A67" s="94"/>
      <c r="B67" s="95" t="s">
        <v>74</v>
      </c>
      <c r="C67" s="38">
        <f>SUM(E67:CQ67)-Q67-AD67-AQ67-BD67-BQ67-CD67-CQ67</f>
        <v>-12369686.199999997</v>
      </c>
      <c r="D67" s="95"/>
      <c r="E67" s="87"/>
      <c r="F67" s="87"/>
      <c r="G67" s="95"/>
      <c r="H67" s="95"/>
      <c r="I67" s="95"/>
      <c r="J67" s="95"/>
      <c r="K67" s="95"/>
      <c r="L67" s="95"/>
      <c r="M67" s="87">
        <f>-'AFE for Wells'!$F$33*5</f>
        <v>-12369686.200000001</v>
      </c>
      <c r="N67" s="611"/>
      <c r="O67" s="612"/>
      <c r="P67" s="611"/>
      <c r="Q67" s="89">
        <f>SUM(I67:N67)</f>
        <v>-12369686.200000001</v>
      </c>
      <c r="S67" s="87"/>
      <c r="T67" s="87"/>
      <c r="U67" s="95"/>
      <c r="V67" s="95"/>
      <c r="W67" s="95"/>
      <c r="X67" s="95"/>
      <c r="Y67" s="95"/>
      <c r="Z67" s="95"/>
      <c r="AA67" s="95"/>
      <c r="AB67" s="95"/>
      <c r="AC67" s="87"/>
      <c r="AD67" s="89">
        <f>SUM(P67:AC67)</f>
        <v>-12369686.200000001</v>
      </c>
      <c r="AE67" s="87"/>
      <c r="AF67" s="87"/>
      <c r="AG67" s="87"/>
      <c r="AH67" s="87"/>
      <c r="AI67" s="87"/>
      <c r="AJ67" s="87"/>
      <c r="AK67" s="87"/>
      <c r="AL67" s="87"/>
      <c r="AM67" s="87"/>
      <c r="AN67" s="87"/>
      <c r="AO67" s="87"/>
      <c r="AP67" s="87"/>
      <c r="AQ67" s="89">
        <f t="shared" si="303"/>
        <v>0</v>
      </c>
      <c r="AR67" s="87"/>
      <c r="AS67" s="87"/>
      <c r="AT67" s="87"/>
      <c r="AU67" s="87"/>
      <c r="AV67" s="87"/>
      <c r="AW67" s="87"/>
      <c r="AX67" s="87"/>
      <c r="AY67" s="87"/>
      <c r="AZ67" s="87"/>
      <c r="BA67" s="87"/>
      <c r="BB67" s="87"/>
      <c r="BC67" s="87"/>
      <c r="BD67" s="89">
        <f t="shared" si="305"/>
        <v>0</v>
      </c>
      <c r="BE67" s="87"/>
      <c r="BF67" s="87"/>
      <c r="BG67" s="87"/>
      <c r="BH67" s="87"/>
      <c r="BI67" s="87"/>
      <c r="BJ67" s="87"/>
      <c r="BK67" s="87"/>
      <c r="BL67" s="87"/>
      <c r="BM67" s="87"/>
      <c r="BN67" s="87"/>
      <c r="BO67" s="87"/>
      <c r="BP67" s="87"/>
      <c r="BQ67" s="89">
        <f t="shared" si="306"/>
        <v>0</v>
      </c>
      <c r="BR67" s="87"/>
      <c r="BS67" s="87"/>
      <c r="BT67" s="87"/>
      <c r="BU67" s="87"/>
      <c r="BV67" s="87"/>
      <c r="BW67" s="87"/>
      <c r="BX67" s="87"/>
      <c r="BY67" s="87"/>
      <c r="BZ67" s="87"/>
      <c r="CA67" s="87"/>
      <c r="CB67" s="87"/>
      <c r="CC67" s="87"/>
      <c r="CD67" s="89">
        <f t="shared" si="307"/>
        <v>0</v>
      </c>
      <c r="CE67" s="87"/>
      <c r="CF67" s="87"/>
      <c r="CG67" s="87"/>
      <c r="CH67" s="87"/>
      <c r="CI67" s="87"/>
      <c r="CJ67" s="87"/>
      <c r="CK67" s="87"/>
      <c r="CL67" s="87"/>
      <c r="CM67" s="87"/>
      <c r="CN67" s="87"/>
      <c r="CO67" s="87"/>
      <c r="CP67" s="38"/>
      <c r="CQ67" s="88">
        <f t="shared" si="308"/>
        <v>0</v>
      </c>
      <c r="CR67" s="95"/>
      <c r="CS67" s="95"/>
      <c r="CT67" s="95"/>
      <c r="CU67" s="95"/>
      <c r="CV67" s="95"/>
      <c r="CW67" s="95"/>
      <c r="CX67" s="95"/>
      <c r="CY67" s="95"/>
      <c r="CZ67" s="95"/>
      <c r="DA67" s="95"/>
      <c r="DB67" s="95"/>
      <c r="DC67" s="95"/>
      <c r="DD67" s="95"/>
      <c r="DE67" s="95"/>
      <c r="DF67" s="95"/>
      <c r="DG67" s="95"/>
      <c r="DH67" s="95"/>
      <c r="DI67" s="95"/>
      <c r="DJ67" s="95"/>
      <c r="DK67" s="95"/>
    </row>
    <row r="68" spans="1:115" ht="13.5" customHeight="1" outlineLevel="1" x14ac:dyDescent="0.4">
      <c r="A68" s="94"/>
      <c r="B68" s="95" t="s">
        <v>75</v>
      </c>
      <c r="C68" s="38">
        <f t="shared" si="309"/>
        <v>-12369686.199999997</v>
      </c>
      <c r="D68" s="95"/>
      <c r="E68" s="87"/>
      <c r="F68" s="87"/>
      <c r="G68" s="95"/>
      <c r="H68" s="95"/>
      <c r="I68" s="95"/>
      <c r="J68" s="87"/>
      <c r="K68" s="95"/>
      <c r="L68" s="95"/>
      <c r="M68" s="95"/>
      <c r="N68" s="87">
        <f>-'AFE for Wells'!$F$33*5</f>
        <v>-12369686.200000001</v>
      </c>
      <c r="O68" s="611"/>
      <c r="P68" s="611"/>
      <c r="Q68" s="89">
        <f>SUM(I68:O68)</f>
        <v>-12369686.200000001</v>
      </c>
      <c r="R68" s="611"/>
      <c r="U68" s="87"/>
      <c r="V68" s="95"/>
      <c r="W68" s="95"/>
      <c r="X68" s="95"/>
      <c r="Y68" s="95"/>
      <c r="Z68" s="95"/>
      <c r="AA68" s="95"/>
      <c r="AB68" s="87"/>
      <c r="AD68" s="89">
        <f>SUM(P68:AB68)</f>
        <v>-12369686.200000001</v>
      </c>
      <c r="AE68" s="87"/>
      <c r="AF68" s="87"/>
      <c r="AG68" s="87"/>
      <c r="AH68" s="87"/>
      <c r="AI68" s="87"/>
      <c r="AJ68" s="87"/>
      <c r="AK68" s="87"/>
      <c r="AL68" s="87"/>
      <c r="AM68" s="87"/>
      <c r="AN68" s="87"/>
      <c r="AO68" s="87"/>
      <c r="AP68" s="87"/>
      <c r="AQ68" s="89">
        <f t="shared" si="303"/>
        <v>0</v>
      </c>
      <c r="AR68" s="87"/>
      <c r="AS68" s="87"/>
      <c r="AT68" s="87"/>
      <c r="AU68" s="87"/>
      <c r="AV68" s="87"/>
      <c r="AW68" s="87"/>
      <c r="AX68" s="87"/>
      <c r="AY68" s="87"/>
      <c r="AZ68" s="87"/>
      <c r="BA68" s="87"/>
      <c r="BB68" s="87"/>
      <c r="BC68" s="87"/>
      <c r="BD68" s="89">
        <f t="shared" si="305"/>
        <v>0</v>
      </c>
      <c r="BE68" s="87"/>
      <c r="BF68" s="87"/>
      <c r="BG68" s="87"/>
      <c r="BH68" s="87"/>
      <c r="BI68" s="87"/>
      <c r="BJ68" s="87"/>
      <c r="BK68" s="87"/>
      <c r="BL68" s="87"/>
      <c r="BM68" s="87"/>
      <c r="BN68" s="87"/>
      <c r="BO68" s="87"/>
      <c r="BP68" s="87"/>
      <c r="BQ68" s="89">
        <f t="shared" si="306"/>
        <v>0</v>
      </c>
      <c r="BR68" s="87"/>
      <c r="BS68" s="87"/>
      <c r="BT68" s="87"/>
      <c r="BU68" s="87"/>
      <c r="BV68" s="87"/>
      <c r="BW68" s="87"/>
      <c r="BX68" s="87"/>
      <c r="BY68" s="87"/>
      <c r="BZ68" s="87"/>
      <c r="CA68" s="87"/>
      <c r="CB68" s="87"/>
      <c r="CC68" s="87"/>
      <c r="CD68" s="89">
        <f t="shared" si="307"/>
        <v>0</v>
      </c>
      <c r="CE68" s="87"/>
      <c r="CF68" s="87"/>
      <c r="CG68" s="87"/>
      <c r="CH68" s="87"/>
      <c r="CI68" s="87"/>
      <c r="CJ68" s="87"/>
      <c r="CK68" s="87"/>
      <c r="CL68" s="87"/>
      <c r="CM68" s="87"/>
      <c r="CN68" s="87"/>
      <c r="CO68" s="87"/>
      <c r="CP68" s="38"/>
      <c r="CQ68" s="88">
        <f t="shared" si="308"/>
        <v>0</v>
      </c>
      <c r="CR68" s="95"/>
      <c r="CS68" s="95"/>
      <c r="CT68" s="95"/>
      <c r="CU68" s="95"/>
      <c r="CV68" s="95"/>
      <c r="CW68" s="95"/>
      <c r="CX68" s="95"/>
      <c r="CY68" s="95"/>
      <c r="CZ68" s="95"/>
      <c r="DA68" s="95"/>
      <c r="DB68" s="95"/>
      <c r="DC68" s="95"/>
      <c r="DD68" s="95"/>
      <c r="DE68" s="95"/>
      <c r="DF68" s="95"/>
      <c r="DG68" s="95"/>
      <c r="DH68" s="95"/>
      <c r="DI68" s="95"/>
      <c r="DJ68" s="95"/>
      <c r="DK68" s="95"/>
    </row>
    <row r="69" spans="1:115" ht="14.25" customHeight="1" outlineLevel="1" x14ac:dyDescent="0.4">
      <c r="A69" s="94"/>
      <c r="B69" s="95" t="s">
        <v>76</v>
      </c>
      <c r="C69" s="38">
        <f t="shared" si="309"/>
        <v>-12369686.199999997</v>
      </c>
      <c r="D69" s="95"/>
      <c r="E69" s="87"/>
      <c r="F69" s="87"/>
      <c r="G69" s="95"/>
      <c r="H69" s="95"/>
      <c r="I69" s="95"/>
      <c r="J69" s="87"/>
      <c r="K69" s="87"/>
      <c r="L69" s="95"/>
      <c r="M69" s="95"/>
      <c r="N69" s="95"/>
      <c r="O69" s="87">
        <f>-'AFE for Wells'!$F$33*5</f>
        <v>-12369686.200000001</v>
      </c>
      <c r="P69" s="611"/>
      <c r="Q69" s="89">
        <f>SUM(I69:O69)</f>
        <v>-12369686.200000001</v>
      </c>
      <c r="R69" s="611"/>
      <c r="S69" s="611"/>
      <c r="T69" s="87"/>
      <c r="U69" s="95"/>
      <c r="Y69" s="95"/>
      <c r="Z69" s="95"/>
      <c r="AA69" s="95"/>
      <c r="AB69" s="87"/>
      <c r="AD69" s="89">
        <f>SUM(P69:AB69)</f>
        <v>-12369686.200000001</v>
      </c>
      <c r="AE69" s="87"/>
      <c r="AF69" s="87"/>
      <c r="AG69" s="87"/>
      <c r="AH69" s="87"/>
      <c r="AI69" s="87"/>
      <c r="AJ69" s="87"/>
      <c r="AK69" s="87"/>
      <c r="AL69" s="87"/>
      <c r="AM69" s="87"/>
      <c r="AN69" s="87"/>
      <c r="AO69" s="87"/>
      <c r="AP69" s="87"/>
      <c r="AQ69" s="89">
        <f t="shared" si="303"/>
        <v>0</v>
      </c>
      <c r="AR69" s="87"/>
      <c r="AS69" s="87"/>
      <c r="AT69" s="87"/>
      <c r="AU69" s="87"/>
      <c r="AV69" s="87"/>
      <c r="AW69" s="87"/>
      <c r="AX69" s="87"/>
      <c r="AY69" s="87"/>
      <c r="AZ69" s="87"/>
      <c r="BA69" s="87"/>
      <c r="BB69" s="87"/>
      <c r="BC69" s="87"/>
      <c r="BD69" s="89">
        <f t="shared" si="305"/>
        <v>0</v>
      </c>
      <c r="BE69" s="87"/>
      <c r="BF69" s="87"/>
      <c r="BG69" s="87"/>
      <c r="BH69" s="87"/>
      <c r="BI69" s="87"/>
      <c r="BJ69" s="87"/>
      <c r="BK69" s="87"/>
      <c r="BL69" s="87"/>
      <c r="BM69" s="87"/>
      <c r="BN69" s="87"/>
      <c r="BO69" s="87"/>
      <c r="BP69" s="87"/>
      <c r="BQ69" s="89">
        <f t="shared" si="306"/>
        <v>0</v>
      </c>
      <c r="BR69" s="87"/>
      <c r="BS69" s="87"/>
      <c r="BT69" s="87"/>
      <c r="BU69" s="87"/>
      <c r="BV69" s="87"/>
      <c r="BW69" s="87"/>
      <c r="BX69" s="87"/>
      <c r="BY69" s="87"/>
      <c r="BZ69" s="87"/>
      <c r="CA69" s="87"/>
      <c r="CB69" s="87"/>
      <c r="CC69" s="87"/>
      <c r="CD69" s="89">
        <f t="shared" si="307"/>
        <v>0</v>
      </c>
      <c r="CE69" s="87"/>
      <c r="CF69" s="87"/>
      <c r="CG69" s="87"/>
      <c r="CH69" s="87"/>
      <c r="CI69" s="87"/>
      <c r="CJ69" s="87"/>
      <c r="CK69" s="87"/>
      <c r="CL69" s="87"/>
      <c r="CM69" s="87"/>
      <c r="CN69" s="87"/>
      <c r="CO69" s="87"/>
      <c r="CP69" s="38"/>
      <c r="CQ69" s="88">
        <f t="shared" si="308"/>
        <v>0</v>
      </c>
      <c r="CR69" s="95"/>
      <c r="CS69" s="95"/>
      <c r="CT69" s="95"/>
      <c r="CU69" s="95"/>
      <c r="CV69" s="95"/>
      <c r="CW69" s="95"/>
      <c r="CX69" s="95"/>
      <c r="CY69" s="95"/>
      <c r="CZ69" s="95"/>
      <c r="DA69" s="95"/>
      <c r="DB69" s="95"/>
      <c r="DC69" s="95"/>
      <c r="DD69" s="95"/>
      <c r="DE69" s="95"/>
      <c r="DF69" s="95"/>
      <c r="DG69" s="95"/>
      <c r="DH69" s="95"/>
      <c r="DI69" s="95"/>
      <c r="DJ69" s="95"/>
      <c r="DK69" s="95"/>
    </row>
    <row r="70" spans="1:115" ht="14.25" customHeight="1" outlineLevel="1" x14ac:dyDescent="0.4">
      <c r="A70" s="94"/>
      <c r="B70" s="95" t="s">
        <v>77</v>
      </c>
      <c r="C70" s="38">
        <f t="shared" si="309"/>
        <v>-12369686.199999999</v>
      </c>
      <c r="D70" s="95"/>
      <c r="E70" s="87"/>
      <c r="F70" s="87"/>
      <c r="G70" s="87"/>
      <c r="H70" s="87"/>
      <c r="I70" s="87"/>
      <c r="J70" s="87"/>
      <c r="K70" s="87"/>
      <c r="L70" s="95"/>
      <c r="M70" s="87"/>
      <c r="N70" s="87"/>
      <c r="O70" s="95"/>
      <c r="P70" s="87">
        <f>-'AFE for Wells'!$F$33*5</f>
        <v>-12369686.200000001</v>
      </c>
      <c r="Q70" s="89">
        <f>SUM(I70:P70)</f>
        <v>-12369686.200000001</v>
      </c>
      <c r="R70" s="612"/>
      <c r="S70" s="611"/>
      <c r="T70" s="611"/>
      <c r="U70" s="87"/>
      <c r="Y70" s="87"/>
      <c r="Z70" s="95"/>
      <c r="AA70" s="95"/>
      <c r="AB70" s="95"/>
      <c r="AD70" s="89">
        <f>SUM(P70:AB70)</f>
        <v>-24739372.400000002</v>
      </c>
      <c r="AE70" s="87"/>
      <c r="AF70" s="87"/>
      <c r="AG70" s="87"/>
      <c r="AH70" s="87"/>
      <c r="AI70" s="87"/>
      <c r="AJ70" s="87"/>
      <c r="AK70" s="87"/>
      <c r="AL70" s="87"/>
      <c r="AM70" s="87"/>
      <c r="AN70" s="87"/>
      <c r="AO70" s="87"/>
      <c r="AP70" s="87"/>
      <c r="AQ70" s="89">
        <f t="shared" si="303"/>
        <v>0</v>
      </c>
      <c r="AR70" s="87"/>
      <c r="AS70" s="87"/>
      <c r="AT70" s="87"/>
      <c r="AU70" s="87"/>
      <c r="AV70" s="87"/>
      <c r="AW70" s="87"/>
      <c r="AX70" s="87"/>
      <c r="AY70" s="87"/>
      <c r="AZ70" s="87"/>
      <c r="BA70" s="87"/>
      <c r="BB70" s="87"/>
      <c r="BC70" s="87"/>
      <c r="BD70" s="89">
        <f t="shared" si="305"/>
        <v>0</v>
      </c>
      <c r="BE70" s="87"/>
      <c r="BF70" s="87"/>
      <c r="BG70" s="87"/>
      <c r="BH70" s="87"/>
      <c r="BI70" s="87"/>
      <c r="BJ70" s="87"/>
      <c r="BK70" s="87"/>
      <c r="BL70" s="87"/>
      <c r="BM70" s="87"/>
      <c r="BN70" s="87"/>
      <c r="BO70" s="87"/>
      <c r="BP70" s="87"/>
      <c r="BQ70" s="89">
        <f t="shared" si="306"/>
        <v>0</v>
      </c>
      <c r="BR70" s="87"/>
      <c r="BS70" s="87"/>
      <c r="BT70" s="87"/>
      <c r="BU70" s="87"/>
      <c r="BV70" s="87"/>
      <c r="BW70" s="87"/>
      <c r="BX70" s="87"/>
      <c r="BY70" s="87"/>
      <c r="BZ70" s="87"/>
      <c r="CA70" s="87"/>
      <c r="CB70" s="87"/>
      <c r="CC70" s="87"/>
      <c r="CD70" s="89">
        <f t="shared" si="307"/>
        <v>0</v>
      </c>
      <c r="CE70" s="87"/>
      <c r="CF70" s="87"/>
      <c r="CG70" s="87"/>
      <c r="CH70" s="87"/>
      <c r="CI70" s="87"/>
      <c r="CJ70" s="87"/>
      <c r="CK70" s="87"/>
      <c r="CL70" s="87"/>
      <c r="CM70" s="87"/>
      <c r="CN70" s="87"/>
      <c r="CO70" s="87"/>
      <c r="CP70" s="38"/>
      <c r="CQ70" s="88">
        <f t="shared" si="308"/>
        <v>0</v>
      </c>
      <c r="CR70" s="95"/>
      <c r="CS70" s="95"/>
      <c r="CT70" s="95"/>
      <c r="CU70" s="95"/>
      <c r="CV70" s="95"/>
      <c r="CW70" s="95"/>
      <c r="CX70" s="95"/>
      <c r="CY70" s="95"/>
      <c r="CZ70" s="95"/>
      <c r="DA70" s="95"/>
      <c r="DB70" s="95"/>
      <c r="DC70" s="95"/>
      <c r="DD70" s="95"/>
      <c r="DE70" s="95"/>
      <c r="DF70" s="95"/>
      <c r="DG70" s="95"/>
      <c r="DH70" s="95"/>
      <c r="DI70" s="95"/>
      <c r="DJ70" s="95"/>
      <c r="DK70" s="95"/>
    </row>
    <row r="71" spans="1:115" ht="14.25" customHeight="1" outlineLevel="1" x14ac:dyDescent="0.4">
      <c r="A71" s="94"/>
      <c r="B71" s="95" t="s">
        <v>78</v>
      </c>
      <c r="C71" s="38">
        <f t="shared" si="309"/>
        <v>-12369686.200000001</v>
      </c>
      <c r="D71" s="95"/>
      <c r="E71" s="87"/>
      <c r="F71" s="87"/>
      <c r="G71" s="87"/>
      <c r="H71" s="87"/>
      <c r="I71" s="87"/>
      <c r="J71" s="87"/>
      <c r="K71" s="87"/>
      <c r="M71" s="87"/>
      <c r="N71" s="87"/>
      <c r="O71" s="87"/>
      <c r="P71" s="87"/>
      <c r="Q71" s="89">
        <f t="shared" ref="Q71:Q104" si="310">SUM(E71:P71)</f>
        <v>0</v>
      </c>
      <c r="R71" s="87">
        <f>-'AFE for Wells'!$F$33*5</f>
        <v>-12369686.200000001</v>
      </c>
      <c r="S71" s="611"/>
      <c r="T71" s="612"/>
      <c r="U71" s="611"/>
      <c r="Y71" s="87"/>
      <c r="Z71" s="87"/>
      <c r="AA71" s="87"/>
      <c r="AB71" s="87"/>
      <c r="AD71" s="89">
        <f t="shared" ref="AD71:AD81" si="311">SUM(R71:AB71)</f>
        <v>-12369686.200000001</v>
      </c>
      <c r="AE71" s="95"/>
      <c r="AF71" s="95"/>
      <c r="AG71" s="95"/>
      <c r="AH71" s="95"/>
      <c r="AI71" s="95"/>
      <c r="AJ71" s="95"/>
      <c r="AK71" s="95"/>
      <c r="AL71" s="95"/>
      <c r="AM71" s="95"/>
      <c r="AN71" s="95"/>
      <c r="AO71" s="95"/>
      <c r="AP71" s="95"/>
      <c r="AQ71" s="89">
        <f t="shared" si="303"/>
        <v>0</v>
      </c>
      <c r="AR71" s="87"/>
      <c r="AS71" s="87"/>
      <c r="AT71" s="87"/>
      <c r="AU71" s="87"/>
      <c r="AV71" s="87"/>
      <c r="AW71" s="87"/>
      <c r="AX71" s="87"/>
      <c r="AY71" s="87"/>
      <c r="AZ71" s="87"/>
      <c r="BA71" s="87"/>
      <c r="BB71" s="87"/>
      <c r="BC71" s="87"/>
      <c r="BD71" s="89">
        <f t="shared" si="305"/>
        <v>0</v>
      </c>
      <c r="BE71" s="87"/>
      <c r="BF71" s="87"/>
      <c r="BG71" s="87"/>
      <c r="BH71" s="87"/>
      <c r="BI71" s="87"/>
      <c r="BJ71" s="87"/>
      <c r="BK71" s="87"/>
      <c r="BL71" s="87"/>
      <c r="BM71" s="87"/>
      <c r="BN71" s="87"/>
      <c r="BO71" s="87"/>
      <c r="BP71" s="87"/>
      <c r="BQ71" s="89">
        <f t="shared" si="306"/>
        <v>0</v>
      </c>
      <c r="BR71" s="87"/>
      <c r="BS71" s="87"/>
      <c r="BT71" s="87"/>
      <c r="BU71" s="87"/>
      <c r="BV71" s="87"/>
      <c r="BW71" s="87"/>
      <c r="BX71" s="87"/>
      <c r="BY71" s="87"/>
      <c r="BZ71" s="87"/>
      <c r="CA71" s="87"/>
      <c r="CB71" s="87"/>
      <c r="CC71" s="87"/>
      <c r="CD71" s="89">
        <f t="shared" si="307"/>
        <v>0</v>
      </c>
      <c r="CE71" s="87"/>
      <c r="CF71" s="87"/>
      <c r="CG71" s="87"/>
      <c r="CH71" s="87"/>
      <c r="CI71" s="87"/>
      <c r="CJ71" s="87"/>
      <c r="CK71" s="87"/>
      <c r="CL71" s="87"/>
      <c r="CM71" s="87"/>
      <c r="CN71" s="87"/>
      <c r="CO71" s="87"/>
      <c r="CP71" s="38"/>
      <c r="CQ71" s="88">
        <f t="shared" si="308"/>
        <v>0</v>
      </c>
      <c r="CR71" s="95"/>
      <c r="CS71" s="95"/>
      <c r="CT71" s="95"/>
      <c r="CU71" s="95"/>
      <c r="CV71" s="95"/>
      <c r="CW71" s="95"/>
      <c r="CX71" s="95"/>
      <c r="CY71" s="95"/>
      <c r="CZ71" s="95"/>
      <c r="DA71" s="95"/>
      <c r="DB71" s="95"/>
      <c r="DC71" s="95"/>
      <c r="DD71" s="95"/>
      <c r="DE71" s="95"/>
      <c r="DF71" s="95"/>
      <c r="DG71" s="95"/>
      <c r="DH71" s="95"/>
      <c r="DI71" s="95"/>
      <c r="DJ71" s="95"/>
      <c r="DK71" s="95"/>
    </row>
    <row r="72" spans="1:115" ht="14.25" customHeight="1" outlineLevel="1" x14ac:dyDescent="0.4">
      <c r="A72" s="94"/>
      <c r="B72" s="95" t="s">
        <v>79</v>
      </c>
      <c r="C72" s="38">
        <f t="shared" si="309"/>
        <v>-12369686.200000001</v>
      </c>
      <c r="D72" s="95"/>
      <c r="E72" s="87"/>
      <c r="F72" s="87"/>
      <c r="G72" s="87"/>
      <c r="H72" s="87"/>
      <c r="I72" s="87"/>
      <c r="J72" s="87"/>
      <c r="K72" s="87"/>
      <c r="L72" s="95"/>
      <c r="M72" s="87"/>
      <c r="N72" s="87"/>
      <c r="O72" s="87"/>
      <c r="P72" s="87"/>
      <c r="Q72" s="89">
        <f t="shared" si="310"/>
        <v>0</v>
      </c>
      <c r="R72" s="95"/>
      <c r="S72" s="87">
        <f>-'AFE for Wells'!$F$33*5</f>
        <v>-12369686.200000001</v>
      </c>
      <c r="T72" s="613"/>
      <c r="U72" s="613"/>
      <c r="V72" s="612"/>
      <c r="Z72" s="87"/>
      <c r="AA72" s="87"/>
      <c r="AB72" s="87"/>
      <c r="AD72" s="89">
        <f t="shared" si="311"/>
        <v>-12369686.200000001</v>
      </c>
      <c r="AE72" s="87">
        <f>AB72</f>
        <v>0</v>
      </c>
      <c r="AF72" s="95"/>
      <c r="AG72" s="95"/>
      <c r="AH72" s="95"/>
      <c r="AI72" s="95"/>
      <c r="AJ72" s="95"/>
      <c r="AK72" s="95"/>
      <c r="AL72" s="95"/>
      <c r="AM72" s="95"/>
      <c r="AN72" s="95"/>
      <c r="AO72" s="95"/>
      <c r="AP72" s="95"/>
      <c r="AQ72" s="89">
        <f t="shared" ref="AQ72:AQ73" si="312">SUM(AF72:AP72)</f>
        <v>0</v>
      </c>
      <c r="AR72" s="87"/>
      <c r="AS72" s="87"/>
      <c r="AT72" s="87"/>
      <c r="AU72" s="87"/>
      <c r="AV72" s="87"/>
      <c r="AW72" s="87"/>
      <c r="AX72" s="87"/>
      <c r="AY72" s="87"/>
      <c r="AZ72" s="87"/>
      <c r="BA72" s="87"/>
      <c r="BB72" s="87"/>
      <c r="BC72" s="87"/>
      <c r="BD72" s="89">
        <f t="shared" si="305"/>
        <v>0</v>
      </c>
      <c r="BE72" s="87"/>
      <c r="BF72" s="87"/>
      <c r="BG72" s="87"/>
      <c r="BH72" s="87"/>
      <c r="BI72" s="87"/>
      <c r="BJ72" s="87"/>
      <c r="BK72" s="87"/>
      <c r="BL72" s="87"/>
      <c r="BM72" s="87"/>
      <c r="BN72" s="87"/>
      <c r="BO72" s="87"/>
      <c r="BP72" s="87"/>
      <c r="BQ72" s="89">
        <f t="shared" si="306"/>
        <v>0</v>
      </c>
      <c r="BR72" s="87"/>
      <c r="BS72" s="87"/>
      <c r="BT72" s="87"/>
      <c r="BU72" s="87"/>
      <c r="BV72" s="87"/>
      <c r="BW72" s="87"/>
      <c r="BX72" s="87"/>
      <c r="BY72" s="87"/>
      <c r="BZ72" s="87"/>
      <c r="CA72" s="87"/>
      <c r="CB72" s="87"/>
      <c r="CC72" s="87"/>
      <c r="CD72" s="89">
        <f t="shared" si="307"/>
        <v>0</v>
      </c>
      <c r="CE72" s="87"/>
      <c r="CF72" s="87"/>
      <c r="CG72" s="87"/>
      <c r="CH72" s="87"/>
      <c r="CI72" s="87"/>
      <c r="CJ72" s="87"/>
      <c r="CK72" s="87"/>
      <c r="CL72" s="87"/>
      <c r="CM72" s="87"/>
      <c r="CN72" s="87"/>
      <c r="CO72" s="87"/>
      <c r="CP72" s="38"/>
      <c r="CQ72" s="88">
        <f t="shared" si="308"/>
        <v>0</v>
      </c>
      <c r="CR72" s="95"/>
      <c r="CS72" s="95"/>
      <c r="CT72" s="95"/>
      <c r="CU72" s="95"/>
      <c r="CV72" s="95"/>
      <c r="CW72" s="95"/>
      <c r="CX72" s="95"/>
      <c r="CY72" s="95"/>
      <c r="CZ72" s="95"/>
      <c r="DA72" s="95"/>
      <c r="DB72" s="95"/>
      <c r="DC72" s="95"/>
      <c r="DD72" s="95"/>
      <c r="DE72" s="95"/>
      <c r="DF72" s="95"/>
      <c r="DG72" s="95"/>
      <c r="DH72" s="95"/>
      <c r="DI72" s="95"/>
      <c r="DJ72" s="95"/>
      <c r="DK72" s="95"/>
    </row>
    <row r="73" spans="1:115" ht="14.25" customHeight="1" outlineLevel="1" x14ac:dyDescent="0.4">
      <c r="A73" s="94"/>
      <c r="B73" s="95" t="s">
        <v>80</v>
      </c>
      <c r="C73" s="38">
        <f t="shared" si="309"/>
        <v>-12369686.200000001</v>
      </c>
      <c r="D73" s="95"/>
      <c r="E73" s="87"/>
      <c r="F73" s="87"/>
      <c r="G73" s="87"/>
      <c r="H73" s="87"/>
      <c r="I73" s="87"/>
      <c r="J73" s="87"/>
      <c r="K73" s="87"/>
      <c r="L73" s="95"/>
      <c r="M73" s="87"/>
      <c r="N73" s="87"/>
      <c r="O73" s="87"/>
      <c r="P73" s="87"/>
      <c r="Q73" s="89">
        <f t="shared" si="310"/>
        <v>0</v>
      </c>
      <c r="R73" s="95"/>
      <c r="S73" s="95"/>
      <c r="T73" s="87">
        <f>-'AFE for Wells'!$F$33*5</f>
        <v>-12369686.200000001</v>
      </c>
      <c r="U73" s="613"/>
      <c r="V73" s="612"/>
      <c r="W73" s="612"/>
      <c r="Y73" s="95"/>
      <c r="AB73" s="87"/>
      <c r="AD73" s="89">
        <f t="shared" si="311"/>
        <v>-12369686.200000001</v>
      </c>
      <c r="AE73" s="87"/>
      <c r="AF73" s="87"/>
      <c r="AG73" s="87"/>
      <c r="AH73" s="95"/>
      <c r="AI73" s="95"/>
      <c r="AJ73" s="95"/>
      <c r="AK73" s="95"/>
      <c r="AL73" s="95"/>
      <c r="AM73" s="95"/>
      <c r="AN73" s="95"/>
      <c r="AO73" s="95"/>
      <c r="AP73" s="95"/>
      <c r="AQ73" s="89">
        <f t="shared" si="312"/>
        <v>0</v>
      </c>
      <c r="AR73" s="87"/>
      <c r="AS73" s="87"/>
      <c r="AT73" s="87"/>
      <c r="AU73" s="87"/>
      <c r="AV73" s="87"/>
      <c r="AW73" s="87"/>
      <c r="AX73" s="87"/>
      <c r="AY73" s="87"/>
      <c r="AZ73" s="87"/>
      <c r="BA73" s="87"/>
      <c r="BB73" s="87"/>
      <c r="BC73" s="87"/>
      <c r="BD73" s="89">
        <f t="shared" si="305"/>
        <v>0</v>
      </c>
      <c r="BE73" s="87"/>
      <c r="BF73" s="87"/>
      <c r="BG73" s="87"/>
      <c r="BH73" s="87"/>
      <c r="BI73" s="87"/>
      <c r="BJ73" s="87"/>
      <c r="BK73" s="87"/>
      <c r="BL73" s="87"/>
      <c r="BM73" s="87"/>
      <c r="BN73" s="87"/>
      <c r="BO73" s="87"/>
      <c r="BP73" s="87"/>
      <c r="BQ73" s="89">
        <f t="shared" si="306"/>
        <v>0</v>
      </c>
      <c r="BR73" s="87"/>
      <c r="BS73" s="87"/>
      <c r="BT73" s="87"/>
      <c r="BU73" s="87"/>
      <c r="BV73" s="87"/>
      <c r="BW73" s="87"/>
      <c r="BX73" s="87"/>
      <c r="BY73" s="87"/>
      <c r="BZ73" s="87"/>
      <c r="CA73" s="87"/>
      <c r="CB73" s="87"/>
      <c r="CC73" s="87"/>
      <c r="CD73" s="89">
        <f t="shared" si="307"/>
        <v>0</v>
      </c>
      <c r="CE73" s="87"/>
      <c r="CF73" s="87"/>
      <c r="CG73" s="87"/>
      <c r="CH73" s="87"/>
      <c r="CI73" s="87"/>
      <c r="CJ73" s="87"/>
      <c r="CK73" s="87"/>
      <c r="CL73" s="87"/>
      <c r="CM73" s="87"/>
      <c r="CN73" s="87"/>
      <c r="CO73" s="87"/>
      <c r="CP73" s="38"/>
      <c r="CQ73" s="88">
        <f t="shared" si="308"/>
        <v>0</v>
      </c>
      <c r="CR73" s="95"/>
      <c r="CS73" s="95"/>
      <c r="CT73" s="95"/>
      <c r="CU73" s="95"/>
      <c r="CV73" s="95"/>
      <c r="CW73" s="95"/>
      <c r="CX73" s="95"/>
      <c r="CY73" s="95"/>
      <c r="CZ73" s="95"/>
      <c r="DA73" s="95"/>
      <c r="DB73" s="95"/>
      <c r="DC73" s="95"/>
      <c r="DD73" s="95"/>
      <c r="DE73" s="95"/>
      <c r="DF73" s="95"/>
      <c r="DG73" s="95"/>
      <c r="DH73" s="95"/>
      <c r="DI73" s="95"/>
      <c r="DJ73" s="95"/>
      <c r="DK73" s="95"/>
    </row>
    <row r="74" spans="1:115" ht="14.25" customHeight="1" outlineLevel="1" x14ac:dyDescent="0.4">
      <c r="A74" s="94"/>
      <c r="B74" s="95" t="s">
        <v>81</v>
      </c>
      <c r="C74" s="38">
        <f t="shared" si="309"/>
        <v>-12369686.200000001</v>
      </c>
      <c r="D74" s="95"/>
      <c r="E74" s="87"/>
      <c r="F74" s="87"/>
      <c r="G74" s="87"/>
      <c r="H74" s="87"/>
      <c r="I74" s="87"/>
      <c r="J74" s="87"/>
      <c r="K74" s="87"/>
      <c r="L74" s="95"/>
      <c r="M74" s="87"/>
      <c r="N74" s="87"/>
      <c r="O74" s="87"/>
      <c r="P74" s="87"/>
      <c r="Q74" s="89">
        <f t="shared" si="310"/>
        <v>0</v>
      </c>
      <c r="R74" s="95"/>
      <c r="S74" s="95"/>
      <c r="T74" s="87"/>
      <c r="U74" s="87">
        <f>-'AFE for Wells'!$F$33*5</f>
        <v>-12369686.200000001</v>
      </c>
      <c r="V74" s="612"/>
      <c r="W74" s="612"/>
      <c r="X74" s="612"/>
      <c r="Y74" s="95"/>
      <c r="Z74" s="95"/>
      <c r="AA74" s="95"/>
      <c r="AB74" s="95"/>
      <c r="AD74" s="89">
        <f t="shared" si="311"/>
        <v>-12369686.200000001</v>
      </c>
      <c r="AF74" s="87"/>
      <c r="AG74" s="87"/>
      <c r="AH74" s="87"/>
      <c r="AI74" s="87"/>
      <c r="AJ74" s="95"/>
      <c r="AK74" s="95"/>
      <c r="AL74" s="95"/>
      <c r="AM74" s="95"/>
      <c r="AN74" s="95"/>
      <c r="AO74" s="95"/>
      <c r="AP74" s="95"/>
      <c r="AQ74" s="89">
        <f>SUM(AG74:AP74)</f>
        <v>0</v>
      </c>
      <c r="AR74" s="87"/>
      <c r="AS74" s="87"/>
      <c r="AT74" s="87"/>
      <c r="AU74" s="87"/>
      <c r="AV74" s="87"/>
      <c r="AW74" s="87"/>
      <c r="AX74" s="87"/>
      <c r="AY74" s="87"/>
      <c r="AZ74" s="87"/>
      <c r="BA74" s="87"/>
      <c r="BB74" s="87"/>
      <c r="BC74" s="87"/>
      <c r="BD74" s="89">
        <f t="shared" si="305"/>
        <v>0</v>
      </c>
      <c r="BE74" s="87"/>
      <c r="BF74" s="87"/>
      <c r="BG74" s="87"/>
      <c r="BH74" s="87"/>
      <c r="BI74" s="87"/>
      <c r="BJ74" s="87"/>
      <c r="BK74" s="87"/>
      <c r="BL74" s="87"/>
      <c r="BM74" s="87"/>
      <c r="BN74" s="87"/>
      <c r="BO74" s="87"/>
      <c r="BP74" s="87"/>
      <c r="BQ74" s="89">
        <f t="shared" si="306"/>
        <v>0</v>
      </c>
      <c r="BR74" s="87"/>
      <c r="BS74" s="87"/>
      <c r="BT74" s="87"/>
      <c r="BU74" s="87"/>
      <c r="BV74" s="87"/>
      <c r="BW74" s="87"/>
      <c r="BX74" s="87"/>
      <c r="BY74" s="87"/>
      <c r="BZ74" s="87"/>
      <c r="CA74" s="87"/>
      <c r="CB74" s="87"/>
      <c r="CC74" s="87"/>
      <c r="CD74" s="89">
        <f t="shared" si="307"/>
        <v>0</v>
      </c>
      <c r="CE74" s="87"/>
      <c r="CF74" s="87"/>
      <c r="CG74" s="87"/>
      <c r="CH74" s="87"/>
      <c r="CI74" s="87"/>
      <c r="CJ74" s="87"/>
      <c r="CK74" s="87"/>
      <c r="CL74" s="87"/>
      <c r="CM74" s="87"/>
      <c r="CN74" s="87"/>
      <c r="CO74" s="87"/>
      <c r="CP74" s="38"/>
      <c r="CQ74" s="88">
        <f t="shared" si="308"/>
        <v>0</v>
      </c>
      <c r="CR74" s="95"/>
      <c r="CS74" s="95"/>
      <c r="CT74" s="95"/>
      <c r="CU74" s="95"/>
      <c r="CV74" s="95"/>
      <c r="CW74" s="95"/>
      <c r="CX74" s="95"/>
      <c r="CY74" s="95"/>
      <c r="CZ74" s="95"/>
      <c r="DA74" s="95"/>
      <c r="DB74" s="95"/>
      <c r="DC74" s="95"/>
      <c r="DD74" s="95"/>
      <c r="DE74" s="95"/>
      <c r="DF74" s="95"/>
      <c r="DG74" s="95"/>
      <c r="DH74" s="95"/>
      <c r="DI74" s="95"/>
      <c r="DJ74" s="95"/>
      <c r="DK74" s="95"/>
    </row>
    <row r="75" spans="1:115" ht="14.25" customHeight="1" outlineLevel="1" x14ac:dyDescent="0.4">
      <c r="A75" s="94"/>
      <c r="B75" s="95" t="s">
        <v>82</v>
      </c>
      <c r="C75" s="38">
        <f t="shared" si="309"/>
        <v>-12369686.200000001</v>
      </c>
      <c r="D75" s="95"/>
      <c r="E75" s="87"/>
      <c r="F75" s="87"/>
      <c r="G75" s="87"/>
      <c r="H75" s="87"/>
      <c r="I75" s="87"/>
      <c r="J75" s="87"/>
      <c r="K75" s="87"/>
      <c r="L75" s="95"/>
      <c r="M75" s="87"/>
      <c r="N75" s="87"/>
      <c r="O75" s="87"/>
      <c r="P75" s="87"/>
      <c r="Q75" s="89">
        <f t="shared" si="310"/>
        <v>0</v>
      </c>
      <c r="R75" s="95"/>
      <c r="S75" s="95"/>
      <c r="T75" s="95"/>
      <c r="U75" s="95"/>
      <c r="V75" s="87">
        <f>-'AFE for Wells'!$F$33*5</f>
        <v>-12369686.200000001</v>
      </c>
      <c r="W75" s="611"/>
      <c r="X75" s="613"/>
      <c r="Y75" s="613"/>
      <c r="AD75" s="89">
        <f t="shared" si="311"/>
        <v>-12369686.200000001</v>
      </c>
      <c r="AE75" s="95"/>
      <c r="AF75" s="95"/>
      <c r="AH75" s="87"/>
      <c r="AI75" s="87"/>
      <c r="AJ75" s="87"/>
      <c r="AK75" s="87"/>
      <c r="AL75" s="95"/>
      <c r="AM75" s="95"/>
      <c r="AN75" s="95"/>
      <c r="AO75" s="95"/>
      <c r="AP75" s="95"/>
      <c r="AQ75" s="89">
        <f t="shared" ref="AQ75:AQ78" si="313">SUM(AI75:AP75)</f>
        <v>0</v>
      </c>
      <c r="AR75" s="87"/>
      <c r="AS75" s="87"/>
      <c r="AT75" s="87"/>
      <c r="AU75" s="87"/>
      <c r="AV75" s="87"/>
      <c r="AW75" s="87"/>
      <c r="AX75" s="87"/>
      <c r="AY75" s="87"/>
      <c r="AZ75" s="87"/>
      <c r="BA75" s="87"/>
      <c r="BB75" s="87"/>
      <c r="BC75" s="87"/>
      <c r="BD75" s="89">
        <f t="shared" si="305"/>
        <v>0</v>
      </c>
      <c r="BE75" s="87"/>
      <c r="BF75" s="87"/>
      <c r="BG75" s="87"/>
      <c r="BH75" s="87"/>
      <c r="BI75" s="87"/>
      <c r="BJ75" s="87"/>
      <c r="BK75" s="87"/>
      <c r="BL75" s="87"/>
      <c r="BM75" s="87"/>
      <c r="BN75" s="87"/>
      <c r="BO75" s="87"/>
      <c r="BP75" s="87"/>
      <c r="BQ75" s="89">
        <f t="shared" si="306"/>
        <v>0</v>
      </c>
      <c r="BR75" s="87"/>
      <c r="BS75" s="87"/>
      <c r="BT75" s="87"/>
      <c r="BU75" s="87"/>
      <c r="BV75" s="87"/>
      <c r="BW75" s="87"/>
      <c r="BX75" s="87"/>
      <c r="BY75" s="87"/>
      <c r="BZ75" s="87"/>
      <c r="CA75" s="87"/>
      <c r="CB75" s="87"/>
      <c r="CC75" s="87"/>
      <c r="CD75" s="89">
        <f t="shared" si="307"/>
        <v>0</v>
      </c>
      <c r="CE75" s="87"/>
      <c r="CF75" s="87"/>
      <c r="CG75" s="87"/>
      <c r="CH75" s="87"/>
      <c r="CI75" s="87"/>
      <c r="CJ75" s="87"/>
      <c r="CK75" s="87"/>
      <c r="CL75" s="87"/>
      <c r="CM75" s="87"/>
      <c r="CN75" s="87"/>
      <c r="CO75" s="87"/>
      <c r="CP75" s="38"/>
      <c r="CQ75" s="88">
        <f t="shared" si="308"/>
        <v>0</v>
      </c>
      <c r="CR75" s="95"/>
      <c r="CS75" s="95"/>
      <c r="CT75" s="95"/>
      <c r="CU75" s="95"/>
      <c r="CV75" s="95"/>
      <c r="CW75" s="95"/>
      <c r="CX75" s="95"/>
      <c r="CY75" s="95"/>
      <c r="CZ75" s="95"/>
      <c r="DA75" s="95"/>
      <c r="DB75" s="95"/>
      <c r="DC75" s="95"/>
      <c r="DD75" s="95"/>
      <c r="DE75" s="95"/>
      <c r="DF75" s="95"/>
      <c r="DG75" s="95"/>
      <c r="DH75" s="95"/>
      <c r="DI75" s="95"/>
      <c r="DJ75" s="95"/>
      <c r="DK75" s="95"/>
    </row>
    <row r="76" spans="1:115" ht="14.25" customHeight="1" outlineLevel="1" x14ac:dyDescent="0.4">
      <c r="A76" s="94"/>
      <c r="B76" s="95" t="s">
        <v>83</v>
      </c>
      <c r="C76" s="38">
        <f t="shared" si="309"/>
        <v>-12369686.199999999</v>
      </c>
      <c r="D76" s="95"/>
      <c r="E76" s="87"/>
      <c r="F76" s="87"/>
      <c r="G76" s="87"/>
      <c r="H76" s="87"/>
      <c r="I76" s="87"/>
      <c r="J76" s="87"/>
      <c r="K76" s="87"/>
      <c r="L76" s="95"/>
      <c r="M76" s="87"/>
      <c r="N76" s="87"/>
      <c r="O76" s="87"/>
      <c r="P76" s="87"/>
      <c r="Q76" s="89">
        <f t="shared" si="310"/>
        <v>0</v>
      </c>
      <c r="R76" s="95"/>
      <c r="S76" s="87"/>
      <c r="T76" s="87"/>
      <c r="U76" s="87"/>
      <c r="V76" s="95"/>
      <c r="W76" s="87">
        <f>-'AFE for Wells'!$F$33*5</f>
        <v>-12369686.200000001</v>
      </c>
      <c r="X76" s="613"/>
      <c r="Y76" s="613"/>
      <c r="Z76" s="612"/>
      <c r="AD76" s="89">
        <f t="shared" si="311"/>
        <v>-12369686.200000001</v>
      </c>
      <c r="AE76" s="95"/>
      <c r="AF76" s="95"/>
      <c r="AG76" s="95"/>
      <c r="AH76" s="95"/>
      <c r="AJ76" s="87"/>
      <c r="AK76" s="87"/>
      <c r="AL76" s="87"/>
      <c r="AM76" s="87"/>
      <c r="AN76" s="95"/>
      <c r="AO76" s="95"/>
      <c r="AP76" s="95"/>
      <c r="AQ76" s="89">
        <f>SUM(W76:AP76)</f>
        <v>-24739372.400000002</v>
      </c>
      <c r="AR76" s="87"/>
      <c r="AS76" s="87"/>
      <c r="AT76" s="87"/>
      <c r="AU76" s="87"/>
      <c r="AV76" s="87"/>
      <c r="AW76" s="87"/>
      <c r="AX76" s="87"/>
      <c r="AY76" s="87"/>
      <c r="AZ76" s="87"/>
      <c r="BA76" s="87"/>
      <c r="BB76" s="87"/>
      <c r="BC76" s="87"/>
      <c r="BD76" s="89">
        <f t="shared" si="305"/>
        <v>0</v>
      </c>
      <c r="BE76" s="87"/>
      <c r="BF76" s="87"/>
      <c r="BG76" s="87"/>
      <c r="BH76" s="87"/>
      <c r="BI76" s="87"/>
      <c r="BJ76" s="87"/>
      <c r="BK76" s="87"/>
      <c r="BL76" s="87"/>
      <c r="BM76" s="87"/>
      <c r="BN76" s="87"/>
      <c r="BO76" s="87"/>
      <c r="BP76" s="87"/>
      <c r="BQ76" s="89">
        <f t="shared" si="306"/>
        <v>0</v>
      </c>
      <c r="BR76" s="87"/>
      <c r="BS76" s="87"/>
      <c r="BT76" s="87"/>
      <c r="BU76" s="87"/>
      <c r="BV76" s="87"/>
      <c r="BW76" s="87"/>
      <c r="BX76" s="87"/>
      <c r="BY76" s="87"/>
      <c r="BZ76" s="87"/>
      <c r="CA76" s="87"/>
      <c r="CB76" s="87"/>
      <c r="CC76" s="87"/>
      <c r="CD76" s="89">
        <f t="shared" si="307"/>
        <v>0</v>
      </c>
      <c r="CE76" s="87"/>
      <c r="CF76" s="87"/>
      <c r="CG76" s="87"/>
      <c r="CH76" s="87"/>
      <c r="CI76" s="87"/>
      <c r="CJ76" s="87"/>
      <c r="CK76" s="87"/>
      <c r="CL76" s="87"/>
      <c r="CM76" s="87"/>
      <c r="CN76" s="87"/>
      <c r="CO76" s="87"/>
      <c r="CP76" s="38"/>
      <c r="CQ76" s="88">
        <f t="shared" si="308"/>
        <v>0</v>
      </c>
      <c r="CR76" s="95"/>
      <c r="CS76" s="95"/>
      <c r="CT76" s="95"/>
      <c r="CU76" s="95"/>
      <c r="CV76" s="95"/>
      <c r="CW76" s="95"/>
      <c r="CX76" s="95"/>
      <c r="CY76" s="95"/>
      <c r="CZ76" s="95"/>
      <c r="DA76" s="95"/>
      <c r="DB76" s="95"/>
      <c r="DC76" s="95"/>
      <c r="DD76" s="95"/>
      <c r="DE76" s="95"/>
      <c r="DF76" s="95"/>
      <c r="DG76" s="95"/>
      <c r="DH76" s="95"/>
      <c r="DI76" s="95"/>
      <c r="DJ76" s="95"/>
      <c r="DK76" s="95"/>
    </row>
    <row r="77" spans="1:115" ht="14.25" customHeight="1" outlineLevel="1" x14ac:dyDescent="0.4">
      <c r="A77" s="94"/>
      <c r="B77" s="95" t="s">
        <v>84</v>
      </c>
      <c r="C77" s="38">
        <f t="shared" si="309"/>
        <v>-12369686.200000001</v>
      </c>
      <c r="D77" s="95"/>
      <c r="E77" s="87"/>
      <c r="F77" s="87"/>
      <c r="G77" s="87"/>
      <c r="H77" s="87"/>
      <c r="I77" s="87"/>
      <c r="J77" s="87"/>
      <c r="K77" s="87"/>
      <c r="L77" s="95"/>
      <c r="M77" s="87"/>
      <c r="N77" s="87"/>
      <c r="O77" s="87"/>
      <c r="P77" s="87"/>
      <c r="Q77" s="89">
        <f t="shared" si="310"/>
        <v>0</v>
      </c>
      <c r="R77" s="95"/>
      <c r="S77" s="95"/>
      <c r="T77" s="95"/>
      <c r="U77" s="95"/>
      <c r="V77" s="95"/>
      <c r="W77" s="95"/>
      <c r="X77" s="87">
        <f>-'AFE for Wells'!$F$33*5</f>
        <v>-12369686.200000001</v>
      </c>
      <c r="Y77" s="613"/>
      <c r="Z77" s="612"/>
      <c r="AA77" s="612"/>
      <c r="AD77" s="89">
        <f t="shared" si="311"/>
        <v>-12369686.200000001</v>
      </c>
      <c r="AE77" s="95"/>
      <c r="AF77" s="95"/>
      <c r="AG77" s="95"/>
      <c r="AH77" s="95"/>
      <c r="AI77" s="95"/>
      <c r="AJ77" s="95"/>
      <c r="AK77" s="87"/>
      <c r="AL77" s="87"/>
      <c r="AM77" s="87"/>
      <c r="AN77" s="87"/>
      <c r="AO77" s="87"/>
      <c r="AP77" s="87"/>
      <c r="AQ77" s="89">
        <f t="shared" si="313"/>
        <v>0</v>
      </c>
      <c r="AR77" s="87"/>
      <c r="AS77" s="87"/>
      <c r="AT77" s="87"/>
      <c r="AU77" s="88"/>
      <c r="AV77" s="95"/>
      <c r="AW77" s="95"/>
      <c r="AX77" s="95"/>
      <c r="AY77" s="95"/>
      <c r="AZ77" s="95"/>
      <c r="BA77" s="95"/>
      <c r="BB77" s="95"/>
      <c r="BC77" s="95"/>
      <c r="BD77" s="89">
        <f t="shared" si="305"/>
        <v>0</v>
      </c>
      <c r="BE77" s="87"/>
      <c r="BF77" s="87"/>
      <c r="BG77" s="87"/>
      <c r="BH77" s="87"/>
      <c r="BI77" s="87"/>
      <c r="BJ77" s="87"/>
      <c r="BK77" s="87"/>
      <c r="BL77" s="87"/>
      <c r="BM77" s="87"/>
      <c r="BN77" s="87"/>
      <c r="BO77" s="87"/>
      <c r="BP77" s="87"/>
      <c r="BQ77" s="89">
        <f t="shared" si="306"/>
        <v>0</v>
      </c>
      <c r="BR77" s="87"/>
      <c r="BS77" s="87"/>
      <c r="BT77" s="87"/>
      <c r="BU77" s="87"/>
      <c r="BV77" s="87"/>
      <c r="BW77" s="87"/>
      <c r="BX77" s="87"/>
      <c r="BY77" s="87"/>
      <c r="BZ77" s="87"/>
      <c r="CA77" s="87"/>
      <c r="CB77" s="87"/>
      <c r="CC77" s="87"/>
      <c r="CD77" s="89">
        <f t="shared" si="307"/>
        <v>0</v>
      </c>
      <c r="CE77" s="87"/>
      <c r="CF77" s="87"/>
      <c r="CG77" s="87"/>
      <c r="CH77" s="87"/>
      <c r="CI77" s="87"/>
      <c r="CJ77" s="87"/>
      <c r="CK77" s="87"/>
      <c r="CL77" s="87"/>
      <c r="CM77" s="87"/>
      <c r="CN77" s="87"/>
      <c r="CO77" s="87"/>
      <c r="CP77" s="38"/>
      <c r="CQ77" s="88">
        <f t="shared" si="308"/>
        <v>0</v>
      </c>
      <c r="CR77" s="95"/>
      <c r="CS77" s="95"/>
      <c r="CT77" s="95"/>
      <c r="CU77" s="95"/>
      <c r="CV77" s="95"/>
      <c r="CW77" s="95"/>
      <c r="CX77" s="95"/>
      <c r="CY77" s="95"/>
      <c r="CZ77" s="95"/>
      <c r="DA77" s="95"/>
      <c r="DB77" s="95"/>
      <c r="DC77" s="95"/>
      <c r="DD77" s="95"/>
      <c r="DE77" s="95"/>
      <c r="DF77" s="95"/>
      <c r="DG77" s="95"/>
      <c r="DH77" s="95"/>
      <c r="DI77" s="95"/>
      <c r="DJ77" s="95"/>
      <c r="DK77" s="95"/>
    </row>
    <row r="78" spans="1:115" ht="14.25" customHeight="1" outlineLevel="1" x14ac:dyDescent="0.4">
      <c r="A78" s="94"/>
      <c r="B78" s="95" t="s">
        <v>85</v>
      </c>
      <c r="C78" s="38">
        <f t="shared" si="309"/>
        <v>-12369686.200000001</v>
      </c>
      <c r="D78" s="107"/>
      <c r="E78" s="87"/>
      <c r="F78" s="87"/>
      <c r="G78" s="87"/>
      <c r="H78" s="87"/>
      <c r="I78" s="87"/>
      <c r="J78" s="87"/>
      <c r="K78" s="87"/>
      <c r="L78" s="95"/>
      <c r="M78" s="87"/>
      <c r="N78" s="87"/>
      <c r="O78" s="87"/>
      <c r="P78" s="87"/>
      <c r="Q78" s="89">
        <f t="shared" si="310"/>
        <v>0</v>
      </c>
      <c r="R78" s="95"/>
      <c r="S78" s="87"/>
      <c r="T78" s="87"/>
      <c r="U78" s="87"/>
      <c r="V78" s="95"/>
      <c r="W78" s="87"/>
      <c r="X78" s="87"/>
      <c r="Y78" s="87">
        <f>-'AFE for Wells'!$F$33*5</f>
        <v>-12369686.200000001</v>
      </c>
      <c r="Z78" s="612"/>
      <c r="AA78" s="612"/>
      <c r="AB78" s="612"/>
      <c r="AC78" s="613"/>
      <c r="AD78" s="89">
        <f t="shared" si="311"/>
        <v>-12369686.200000001</v>
      </c>
      <c r="AE78" s="95"/>
      <c r="AF78" s="95"/>
      <c r="AG78" s="95"/>
      <c r="AH78" s="95"/>
      <c r="AI78" s="95"/>
      <c r="AJ78" s="95"/>
      <c r="AK78" s="95"/>
      <c r="AL78" s="95"/>
      <c r="AM78" s="87"/>
      <c r="AN78" s="87"/>
      <c r="AO78" s="87"/>
      <c r="AP78" s="87"/>
      <c r="AQ78" s="89">
        <f t="shared" si="313"/>
        <v>0</v>
      </c>
      <c r="AR78" s="87"/>
      <c r="AS78" s="87"/>
      <c r="AT78" s="87"/>
      <c r="AU78" s="88"/>
      <c r="AV78" s="95"/>
      <c r="AW78" s="95"/>
      <c r="AX78" s="95"/>
      <c r="AY78" s="95"/>
      <c r="AZ78" s="95"/>
      <c r="BA78" s="95"/>
      <c r="BB78" s="95"/>
      <c r="BC78" s="95"/>
      <c r="BD78" s="89">
        <f t="shared" si="305"/>
        <v>0</v>
      </c>
      <c r="BE78" s="87"/>
      <c r="BF78" s="87"/>
      <c r="BG78" s="87"/>
      <c r="BH78" s="87"/>
      <c r="BI78" s="87"/>
      <c r="BJ78" s="87"/>
      <c r="BK78" s="87"/>
      <c r="BL78" s="87"/>
      <c r="BM78" s="87"/>
      <c r="BN78" s="87"/>
      <c r="BO78" s="87"/>
      <c r="BP78" s="87"/>
      <c r="BQ78" s="89">
        <f t="shared" si="306"/>
        <v>0</v>
      </c>
      <c r="BR78" s="87"/>
      <c r="BS78" s="87"/>
      <c r="BT78" s="87"/>
      <c r="BU78" s="87"/>
      <c r="BV78" s="87"/>
      <c r="BW78" s="87"/>
      <c r="BX78" s="87"/>
      <c r="BY78" s="87"/>
      <c r="BZ78" s="87"/>
      <c r="CA78" s="87"/>
      <c r="CB78" s="87"/>
      <c r="CC78" s="87"/>
      <c r="CD78" s="89">
        <f t="shared" si="307"/>
        <v>0</v>
      </c>
      <c r="CE78" s="87"/>
      <c r="CF78" s="87"/>
      <c r="CG78" s="87"/>
      <c r="CH78" s="87"/>
      <c r="CI78" s="87"/>
      <c r="CJ78" s="87"/>
      <c r="CK78" s="87"/>
      <c r="CL78" s="87"/>
      <c r="CM78" s="87"/>
      <c r="CN78" s="87"/>
      <c r="CO78" s="87"/>
      <c r="CP78" s="38"/>
      <c r="CQ78" s="88">
        <f t="shared" si="308"/>
        <v>0</v>
      </c>
      <c r="CR78" s="95"/>
      <c r="CS78" s="95"/>
      <c r="CT78" s="95"/>
      <c r="CU78" s="95"/>
      <c r="CV78" s="95"/>
      <c r="CW78" s="95"/>
      <c r="CX78" s="95"/>
      <c r="CY78" s="95"/>
      <c r="CZ78" s="95"/>
      <c r="DA78" s="95"/>
      <c r="DB78" s="95"/>
      <c r="DC78" s="95"/>
      <c r="DD78" s="95"/>
      <c r="DE78" s="95"/>
      <c r="DF78" s="95"/>
      <c r="DG78" s="95"/>
      <c r="DH78" s="95"/>
      <c r="DI78" s="95"/>
      <c r="DJ78" s="95"/>
      <c r="DK78" s="95"/>
    </row>
    <row r="79" spans="1:115" ht="14.25" customHeight="1" outlineLevel="1" x14ac:dyDescent="0.4">
      <c r="A79" s="94"/>
      <c r="B79" s="95" t="s">
        <v>86</v>
      </c>
      <c r="C79" s="38">
        <f t="shared" si="309"/>
        <v>-12369686.200000001</v>
      </c>
      <c r="D79" s="95"/>
      <c r="E79" s="87"/>
      <c r="F79" s="87"/>
      <c r="G79" s="87"/>
      <c r="H79" s="87"/>
      <c r="I79" s="87"/>
      <c r="J79" s="87"/>
      <c r="K79" s="87"/>
      <c r="L79" s="95"/>
      <c r="M79" s="87"/>
      <c r="N79" s="87"/>
      <c r="O79" s="87"/>
      <c r="P79" s="87"/>
      <c r="Q79" s="89">
        <f t="shared" si="310"/>
        <v>0</v>
      </c>
      <c r="R79" s="95"/>
      <c r="S79" s="87"/>
      <c r="T79" s="87"/>
      <c r="U79" s="87"/>
      <c r="V79" s="87"/>
      <c r="W79" s="87"/>
      <c r="X79" s="87"/>
      <c r="Y79" s="95"/>
      <c r="Z79" s="87">
        <f>-'AFE for Wells'!$F$33*5</f>
        <v>-12369686.200000001</v>
      </c>
      <c r="AA79" s="613"/>
      <c r="AB79" s="613"/>
      <c r="AC79" s="611"/>
      <c r="AD79" s="89">
        <f t="shared" si="311"/>
        <v>-12369686.200000001</v>
      </c>
      <c r="AJ79" s="95"/>
      <c r="AK79" s="87"/>
      <c r="AL79" s="87"/>
      <c r="AM79" s="95"/>
      <c r="AN79" s="95"/>
      <c r="AO79" s="87"/>
      <c r="AP79" s="87"/>
      <c r="AQ79" s="89">
        <f>SUM(AE79:AP79)</f>
        <v>0</v>
      </c>
      <c r="AR79" s="87"/>
      <c r="AS79" s="87"/>
      <c r="AT79" s="87"/>
      <c r="AU79" s="88"/>
      <c r="AV79" s="95"/>
      <c r="AW79" s="95"/>
      <c r="AX79" s="95"/>
      <c r="AY79" s="95"/>
      <c r="AZ79" s="95"/>
      <c r="BA79" s="95"/>
      <c r="BB79" s="95"/>
      <c r="BC79" s="95"/>
      <c r="BD79" s="89">
        <f>SUM(AR79:BC79)</f>
        <v>0</v>
      </c>
      <c r="BE79" s="87"/>
      <c r="BF79" s="87"/>
      <c r="BG79" s="87"/>
      <c r="BH79" s="87"/>
      <c r="BI79" s="87"/>
      <c r="BJ79" s="87"/>
      <c r="BK79" s="87"/>
      <c r="BL79" s="87"/>
      <c r="BM79" s="87"/>
      <c r="BN79" s="87"/>
      <c r="BO79" s="87"/>
      <c r="BP79" s="87"/>
      <c r="BQ79" s="89">
        <f t="shared" si="306"/>
        <v>0</v>
      </c>
      <c r="BR79" s="87"/>
      <c r="BS79" s="87"/>
      <c r="BT79" s="87"/>
      <c r="BU79" s="87"/>
      <c r="BV79" s="87"/>
      <c r="BW79" s="87"/>
      <c r="BX79" s="87"/>
      <c r="BY79" s="87"/>
      <c r="BZ79" s="87"/>
      <c r="CA79" s="87"/>
      <c r="CB79" s="87"/>
      <c r="CC79" s="87"/>
      <c r="CD79" s="89">
        <f t="shared" si="307"/>
        <v>0</v>
      </c>
      <c r="CE79" s="87"/>
      <c r="CF79" s="87"/>
      <c r="CG79" s="87"/>
      <c r="CH79" s="87"/>
      <c r="CI79" s="87"/>
      <c r="CJ79" s="87"/>
      <c r="CK79" s="87"/>
      <c r="CL79" s="87"/>
      <c r="CM79" s="87"/>
      <c r="CN79" s="87"/>
      <c r="CO79" s="87"/>
      <c r="CP79" s="38"/>
      <c r="CQ79" s="88">
        <f t="shared" si="308"/>
        <v>0</v>
      </c>
      <c r="CR79" s="95"/>
      <c r="CS79" s="95"/>
      <c r="CT79" s="95"/>
      <c r="CU79" s="95"/>
      <c r="CV79" s="95"/>
      <c r="CW79" s="95"/>
      <c r="CX79" s="95"/>
      <c r="CY79" s="95"/>
      <c r="CZ79" s="95"/>
      <c r="DA79" s="95"/>
      <c r="DB79" s="95"/>
      <c r="DC79" s="95"/>
      <c r="DD79" s="95"/>
      <c r="DE79" s="95"/>
      <c r="DF79" s="95"/>
      <c r="DG79" s="95"/>
      <c r="DH79" s="95"/>
      <c r="DI79" s="95"/>
      <c r="DJ79" s="95"/>
      <c r="DK79" s="95"/>
    </row>
    <row r="80" spans="1:115" ht="14.25" customHeight="1" outlineLevel="1" x14ac:dyDescent="0.4">
      <c r="A80" s="94"/>
      <c r="B80" s="95" t="s">
        <v>87</v>
      </c>
      <c r="C80" s="38">
        <f t="shared" si="309"/>
        <v>-12369686.200000001</v>
      </c>
      <c r="D80" s="95"/>
      <c r="E80" s="87"/>
      <c r="F80" s="87"/>
      <c r="G80" s="87"/>
      <c r="H80" s="87"/>
      <c r="I80" s="87"/>
      <c r="J80" s="87"/>
      <c r="K80" s="87"/>
      <c r="L80" s="95"/>
      <c r="M80" s="87"/>
      <c r="N80" s="87"/>
      <c r="O80" s="87"/>
      <c r="P80" s="87"/>
      <c r="Q80" s="89">
        <f t="shared" si="310"/>
        <v>0</v>
      </c>
      <c r="R80" s="95"/>
      <c r="S80" s="87"/>
      <c r="T80" s="87"/>
      <c r="U80" s="87"/>
      <c r="V80" s="87"/>
      <c r="W80" s="87"/>
      <c r="X80" s="87"/>
      <c r="Y80" s="95"/>
      <c r="Z80" s="95"/>
      <c r="AA80" s="87">
        <f>-'AFE for Wells'!$F$33*5</f>
        <v>-12369686.200000001</v>
      </c>
      <c r="AB80" s="613"/>
      <c r="AC80" s="611"/>
      <c r="AD80" s="89">
        <f t="shared" si="311"/>
        <v>-12369686.200000001</v>
      </c>
      <c r="AE80" s="612"/>
      <c r="AI80" s="87"/>
      <c r="AJ80" s="87"/>
      <c r="AL80" s="87"/>
      <c r="AM80" s="95"/>
      <c r="AN80" s="95"/>
      <c r="AO80" s="95"/>
      <c r="AP80" s="95"/>
      <c r="AQ80" s="89">
        <f>SUM(AE80:AP80)</f>
        <v>0</v>
      </c>
      <c r="AR80" s="87"/>
      <c r="AS80" s="87"/>
      <c r="AT80" s="87"/>
      <c r="AU80" s="87"/>
      <c r="AV80" s="87"/>
      <c r="AW80" s="95"/>
      <c r="AX80" s="95"/>
      <c r="AY80" s="95"/>
      <c r="AZ80" s="95"/>
      <c r="BA80" s="95"/>
      <c r="BB80" s="95"/>
      <c r="BC80" s="95"/>
      <c r="BD80" s="89">
        <f t="shared" si="305"/>
        <v>0</v>
      </c>
      <c r="BE80" s="87"/>
      <c r="BF80" s="87"/>
      <c r="BG80" s="87"/>
      <c r="BH80" s="87"/>
      <c r="BI80" s="87"/>
      <c r="BJ80" s="87"/>
      <c r="BK80" s="87"/>
      <c r="BL80" s="87"/>
      <c r="BM80" s="87"/>
      <c r="BN80" s="87"/>
      <c r="BO80" s="87"/>
      <c r="BP80" s="87"/>
      <c r="BQ80" s="89">
        <f t="shared" si="306"/>
        <v>0</v>
      </c>
      <c r="BR80" s="87"/>
      <c r="BS80" s="87"/>
      <c r="BT80" s="87"/>
      <c r="BU80" s="87"/>
      <c r="BV80" s="87"/>
      <c r="BW80" s="87"/>
      <c r="BX80" s="87"/>
      <c r="BY80" s="87"/>
      <c r="BZ80" s="87"/>
      <c r="CA80" s="87"/>
      <c r="CB80" s="87"/>
      <c r="CC80" s="87"/>
      <c r="CD80" s="89">
        <f t="shared" si="307"/>
        <v>0</v>
      </c>
      <c r="CE80" s="87"/>
      <c r="CF80" s="87"/>
      <c r="CG80" s="87"/>
      <c r="CH80" s="87"/>
      <c r="CI80" s="87"/>
      <c r="CJ80" s="87"/>
      <c r="CK80" s="87"/>
      <c r="CL80" s="87"/>
      <c r="CM80" s="87"/>
      <c r="CN80" s="87"/>
      <c r="CO80" s="87"/>
      <c r="CP80" s="38"/>
      <c r="CQ80" s="88">
        <f t="shared" si="308"/>
        <v>0</v>
      </c>
      <c r="CR80" s="95"/>
      <c r="CS80" s="95"/>
      <c r="CT80" s="95"/>
      <c r="CU80" s="95"/>
      <c r="CV80" s="95"/>
      <c r="CW80" s="95"/>
      <c r="CX80" s="95"/>
      <c r="CY80" s="95"/>
      <c r="CZ80" s="95"/>
      <c r="DA80" s="95"/>
      <c r="DB80" s="95"/>
      <c r="DC80" s="95"/>
      <c r="DD80" s="95"/>
      <c r="DE80" s="95"/>
      <c r="DF80" s="95"/>
      <c r="DG80" s="95"/>
      <c r="DH80" s="95"/>
      <c r="DI80" s="95"/>
      <c r="DJ80" s="95"/>
      <c r="DK80" s="95"/>
    </row>
    <row r="81" spans="1:115" ht="14.25" customHeight="1" outlineLevel="1" x14ac:dyDescent="0.4">
      <c r="A81" s="94"/>
      <c r="B81" s="95" t="s">
        <v>88</v>
      </c>
      <c r="C81" s="38">
        <f t="shared" si="309"/>
        <v>-12369686.199999999</v>
      </c>
      <c r="D81" s="95"/>
      <c r="E81" s="87"/>
      <c r="F81" s="87"/>
      <c r="G81" s="87"/>
      <c r="H81" s="87"/>
      <c r="I81" s="87"/>
      <c r="J81" s="87"/>
      <c r="K81" s="87"/>
      <c r="L81" s="95"/>
      <c r="M81" s="87"/>
      <c r="N81" s="87"/>
      <c r="O81" s="87"/>
      <c r="P81" s="87"/>
      <c r="Q81" s="89">
        <f t="shared" si="310"/>
        <v>0</v>
      </c>
      <c r="R81" s="95"/>
      <c r="S81" s="87"/>
      <c r="T81" s="87"/>
      <c r="U81" s="87"/>
      <c r="V81" s="87"/>
      <c r="W81" s="87"/>
      <c r="X81" s="87"/>
      <c r="Y81" s="95"/>
      <c r="Z81" s="95"/>
      <c r="AA81" s="95"/>
      <c r="AB81" s="87">
        <f>-'AFE for Wells'!$F$33*5</f>
        <v>-12369686.200000001</v>
      </c>
      <c r="AC81" s="618"/>
      <c r="AD81" s="89">
        <f t="shared" si="311"/>
        <v>-12369686.200000001</v>
      </c>
      <c r="AE81" s="612"/>
      <c r="AF81" s="612"/>
      <c r="AI81" s="87"/>
      <c r="AJ81" s="87"/>
      <c r="AL81" s="87"/>
      <c r="AM81" s="87"/>
      <c r="AN81" s="87"/>
      <c r="AO81" s="95"/>
      <c r="AP81" s="95"/>
      <c r="AQ81" s="89">
        <f>SUM(AB81:AP81)</f>
        <v>-24739372.400000002</v>
      </c>
      <c r="AR81" s="95"/>
      <c r="AS81" s="95"/>
      <c r="AT81" s="87"/>
      <c r="AU81" s="87"/>
      <c r="AV81" s="87"/>
      <c r="AW81" s="87"/>
      <c r="AX81" s="87"/>
      <c r="AY81" s="95"/>
      <c r="AZ81" s="95"/>
      <c r="BA81" s="95"/>
      <c r="BB81" s="95"/>
      <c r="BC81" s="95"/>
      <c r="BD81" s="89">
        <f t="shared" ref="BD81:BD83" si="314">SUM(AT81:BC81)</f>
        <v>0</v>
      </c>
      <c r="BE81" s="87"/>
      <c r="BF81" s="87"/>
      <c r="BG81" s="87"/>
      <c r="BH81" s="87"/>
      <c r="BI81" s="87"/>
      <c r="BJ81" s="87"/>
      <c r="BK81" s="87"/>
      <c r="BL81" s="87"/>
      <c r="BM81" s="87"/>
      <c r="BN81" s="87"/>
      <c r="BO81" s="87"/>
      <c r="BP81" s="87"/>
      <c r="BQ81" s="89">
        <f t="shared" si="306"/>
        <v>0</v>
      </c>
      <c r="BR81" s="87"/>
      <c r="BS81" s="87"/>
      <c r="BT81" s="87"/>
      <c r="BU81" s="87"/>
      <c r="BV81" s="87"/>
      <c r="BW81" s="87"/>
      <c r="BX81" s="87"/>
      <c r="BY81" s="87"/>
      <c r="BZ81" s="87"/>
      <c r="CA81" s="87"/>
      <c r="CB81" s="87"/>
      <c r="CC81" s="87"/>
      <c r="CD81" s="89">
        <f t="shared" si="307"/>
        <v>0</v>
      </c>
      <c r="CE81" s="87"/>
      <c r="CF81" s="87"/>
      <c r="CG81" s="87"/>
      <c r="CH81" s="87"/>
      <c r="CI81" s="87"/>
      <c r="CJ81" s="87"/>
      <c r="CK81" s="87"/>
      <c r="CL81" s="87"/>
      <c r="CM81" s="87"/>
      <c r="CN81" s="87"/>
      <c r="CO81" s="87"/>
      <c r="CP81" s="38"/>
      <c r="CQ81" s="88">
        <f t="shared" si="308"/>
        <v>0</v>
      </c>
      <c r="CR81" s="95"/>
      <c r="CS81" s="95"/>
      <c r="CT81" s="95"/>
      <c r="CU81" s="95"/>
      <c r="CV81" s="95"/>
      <c r="CW81" s="95"/>
      <c r="CX81" s="95"/>
      <c r="CY81" s="95"/>
      <c r="CZ81" s="95"/>
      <c r="DA81" s="95"/>
      <c r="DB81" s="95"/>
      <c r="DC81" s="95"/>
      <c r="DD81" s="95"/>
      <c r="DE81" s="95"/>
      <c r="DF81" s="95"/>
      <c r="DG81" s="95"/>
      <c r="DH81" s="95"/>
      <c r="DI81" s="95"/>
      <c r="DJ81" s="95"/>
      <c r="DK81" s="95"/>
    </row>
    <row r="82" spans="1:115" ht="14.25" customHeight="1" outlineLevel="1" x14ac:dyDescent="0.4">
      <c r="A82" s="94"/>
      <c r="B82" s="95" t="s">
        <v>89</v>
      </c>
      <c r="C82" s="38">
        <f t="shared" si="309"/>
        <v>-12369686.200000001</v>
      </c>
      <c r="D82" s="95"/>
      <c r="E82" s="87"/>
      <c r="F82" s="87"/>
      <c r="G82" s="87"/>
      <c r="H82" s="87"/>
      <c r="I82" s="87"/>
      <c r="J82" s="87"/>
      <c r="K82" s="87"/>
      <c r="L82" s="95"/>
      <c r="M82" s="87"/>
      <c r="N82" s="87"/>
      <c r="O82" s="87"/>
      <c r="P82" s="87"/>
      <c r="Q82" s="89">
        <f t="shared" si="310"/>
        <v>0</v>
      </c>
      <c r="R82" s="87"/>
      <c r="S82" s="95"/>
      <c r="T82" s="87"/>
      <c r="U82" s="87"/>
      <c r="V82" s="87"/>
      <c r="W82" s="87"/>
      <c r="X82" s="87"/>
      <c r="Y82" s="87"/>
      <c r="Z82" s="95"/>
      <c r="AA82" s="87"/>
      <c r="AB82" s="87"/>
      <c r="AC82" s="87">
        <f>-'AFE for Wells'!$F$33*5</f>
        <v>-12369686.200000001</v>
      </c>
      <c r="AD82" s="89">
        <f>SUM(R82:AC82)</f>
        <v>-12369686.200000001</v>
      </c>
      <c r="AE82" s="613"/>
      <c r="AF82" s="611"/>
      <c r="AG82" s="611"/>
      <c r="AL82" s="95"/>
      <c r="AM82" s="95"/>
      <c r="AN82" s="95"/>
      <c r="AO82" s="95"/>
      <c r="AP82" s="95"/>
      <c r="AQ82" s="24"/>
      <c r="AR82" s="95"/>
      <c r="AS82" s="95"/>
      <c r="AT82" s="95"/>
      <c r="AU82" s="95"/>
      <c r="AV82" s="87"/>
      <c r="AW82" s="87"/>
      <c r="AX82" s="87"/>
      <c r="AY82" s="87"/>
      <c r="AZ82" s="87"/>
      <c r="BA82" s="95"/>
      <c r="BB82" s="95"/>
      <c r="BC82" s="95"/>
      <c r="BD82" s="89">
        <f t="shared" si="314"/>
        <v>0</v>
      </c>
      <c r="BE82" s="87"/>
      <c r="BF82" s="87"/>
      <c r="BG82" s="87"/>
      <c r="BH82" s="87"/>
      <c r="BI82" s="87"/>
      <c r="BJ82" s="87"/>
      <c r="BK82" s="87"/>
      <c r="BL82" s="87"/>
      <c r="BM82" s="87"/>
      <c r="BN82" s="87"/>
      <c r="BO82" s="87"/>
      <c r="BP82" s="87"/>
      <c r="BQ82" s="89">
        <f t="shared" si="306"/>
        <v>0</v>
      </c>
      <c r="BR82" s="87"/>
      <c r="BS82" s="87"/>
      <c r="BT82" s="87"/>
      <c r="BU82" s="87"/>
      <c r="BV82" s="87"/>
      <c r="BW82" s="87"/>
      <c r="BX82" s="87"/>
      <c r="BY82" s="87"/>
      <c r="BZ82" s="87"/>
      <c r="CA82" s="87"/>
      <c r="CB82" s="87"/>
      <c r="CC82" s="87"/>
      <c r="CD82" s="89">
        <f t="shared" si="307"/>
        <v>0</v>
      </c>
      <c r="CE82" s="87"/>
      <c r="CF82" s="87"/>
      <c r="CG82" s="87"/>
      <c r="CH82" s="87"/>
      <c r="CI82" s="87"/>
      <c r="CJ82" s="87"/>
      <c r="CK82" s="87"/>
      <c r="CL82" s="87"/>
      <c r="CM82" s="87"/>
      <c r="CN82" s="87"/>
      <c r="CO82" s="87"/>
      <c r="CP82" s="38"/>
      <c r="CQ82" s="88">
        <f t="shared" si="308"/>
        <v>0</v>
      </c>
      <c r="CR82" s="95"/>
      <c r="CS82" s="95"/>
      <c r="CT82" s="95"/>
      <c r="CU82" s="95"/>
      <c r="CV82" s="95"/>
      <c r="CW82" s="95"/>
      <c r="CX82" s="95"/>
      <c r="CY82" s="95"/>
      <c r="CZ82" s="95"/>
      <c r="DA82" s="95"/>
      <c r="DB82" s="95"/>
      <c r="DC82" s="95"/>
      <c r="DD82" s="95"/>
      <c r="DE82" s="95"/>
      <c r="DF82" s="95"/>
      <c r="DG82" s="95"/>
      <c r="DH82" s="95"/>
      <c r="DI82" s="95"/>
      <c r="DJ82" s="95"/>
      <c r="DK82" s="95"/>
    </row>
    <row r="83" spans="1:115" ht="14.25" customHeight="1" outlineLevel="1" x14ac:dyDescent="0.4">
      <c r="A83" s="94"/>
      <c r="B83" s="95" t="s">
        <v>90</v>
      </c>
      <c r="C83" s="38">
        <f>SUM(E83:CQ83)-Q83-AD83-AW83-BD83-BQ83-CD83-CQ83</f>
        <v>-12369686.200000001</v>
      </c>
      <c r="D83" s="95"/>
      <c r="E83" s="87"/>
      <c r="F83" s="87"/>
      <c r="G83" s="87"/>
      <c r="H83" s="87"/>
      <c r="I83" s="87"/>
      <c r="J83" s="87"/>
      <c r="K83" s="87"/>
      <c r="L83" s="95"/>
      <c r="M83" s="87"/>
      <c r="N83" s="87"/>
      <c r="O83" s="87"/>
      <c r="P83" s="87"/>
      <c r="Q83" s="89">
        <f t="shared" si="310"/>
        <v>0</v>
      </c>
      <c r="R83" s="87"/>
      <c r="S83" s="95"/>
      <c r="T83" s="87"/>
      <c r="U83" s="87"/>
      <c r="V83" s="87"/>
      <c r="W83" s="87"/>
      <c r="X83" s="87"/>
      <c r="Y83" s="87"/>
      <c r="Z83" s="95"/>
      <c r="AA83" s="87"/>
      <c r="AB83" s="87"/>
      <c r="AC83" s="87"/>
      <c r="AD83" s="89">
        <f t="shared" si="304"/>
        <v>0</v>
      </c>
      <c r="AE83" s="87">
        <f>-'AFE for Wells'!$F$33*5</f>
        <v>-12369686.200000001</v>
      </c>
      <c r="AF83" s="612"/>
      <c r="AG83" s="613"/>
      <c r="AH83" s="611"/>
      <c r="AL83" s="87"/>
      <c r="AM83" s="87"/>
      <c r="AN83" s="87"/>
      <c r="AO83" s="87"/>
      <c r="AP83" s="87"/>
      <c r="AQ83" s="89"/>
      <c r="AR83" s="95"/>
      <c r="AS83" s="95"/>
      <c r="AT83" s="87"/>
      <c r="AU83" s="87"/>
      <c r="AV83" s="87"/>
      <c r="AW83" s="88"/>
      <c r="AX83" s="87"/>
      <c r="AY83" s="87"/>
      <c r="AZ83" s="87"/>
      <c r="BA83" s="87"/>
      <c r="BB83" s="87"/>
      <c r="BC83" s="95"/>
      <c r="BD83" s="89">
        <f t="shared" si="314"/>
        <v>0</v>
      </c>
      <c r="BE83" s="95"/>
      <c r="BF83" s="95"/>
      <c r="BG83" s="88"/>
      <c r="BH83" s="88">
        <f>SUM(BH84:BH102)</f>
        <v>0</v>
      </c>
      <c r="BI83" s="88">
        <f t="shared" ref="BI83:BP83" si="315">SUM(BI84:BI103)</f>
        <v>0</v>
      </c>
      <c r="BJ83" s="88">
        <f t="shared" si="315"/>
        <v>0</v>
      </c>
      <c r="BK83" s="88">
        <f t="shared" si="315"/>
        <v>0</v>
      </c>
      <c r="BL83" s="88">
        <f t="shared" si="315"/>
        <v>0</v>
      </c>
      <c r="BM83" s="88">
        <f t="shared" si="315"/>
        <v>0</v>
      </c>
      <c r="BN83" s="88">
        <f t="shared" si="315"/>
        <v>0</v>
      </c>
      <c r="BO83" s="88">
        <f t="shared" si="315"/>
        <v>0</v>
      </c>
      <c r="BP83" s="88">
        <f t="shared" si="315"/>
        <v>0</v>
      </c>
      <c r="BQ83" s="89">
        <f t="shared" si="306"/>
        <v>0</v>
      </c>
      <c r="BR83" s="87">
        <f>BO82</f>
        <v>0</v>
      </c>
      <c r="BS83" s="88">
        <f>BR83</f>
        <v>0</v>
      </c>
      <c r="BT83" s="88"/>
      <c r="BU83" s="88"/>
      <c r="BV83" s="88"/>
      <c r="BW83" s="88"/>
      <c r="BX83" s="88"/>
      <c r="BY83" s="88"/>
      <c r="BZ83" s="88"/>
      <c r="CA83" s="88">
        <f t="shared" ref="CA83:CC83" si="316">SUM(CA84:CA103)</f>
        <v>0</v>
      </c>
      <c r="CB83" s="88">
        <f t="shared" si="316"/>
        <v>0</v>
      </c>
      <c r="CC83" s="88">
        <f t="shared" si="316"/>
        <v>0</v>
      </c>
      <c r="CD83" s="89">
        <f t="shared" si="307"/>
        <v>0</v>
      </c>
      <c r="CE83" s="87">
        <f>CB82</f>
        <v>0</v>
      </c>
      <c r="CF83" s="88">
        <f>CE83</f>
        <v>0</v>
      </c>
      <c r="CG83" s="88"/>
      <c r="CH83" s="88"/>
      <c r="CI83" s="88"/>
      <c r="CJ83" s="88"/>
      <c r="CK83" s="88"/>
      <c r="CL83" s="88"/>
      <c r="CM83" s="88"/>
      <c r="CN83" s="88">
        <f t="shared" ref="CN83:CP83" si="317">SUM(CN84:CN103)</f>
        <v>0</v>
      </c>
      <c r="CO83" s="88">
        <f t="shared" si="317"/>
        <v>0</v>
      </c>
      <c r="CP83" s="38">
        <f t="shared" si="317"/>
        <v>0</v>
      </c>
      <c r="CQ83" s="88">
        <f t="shared" si="308"/>
        <v>0</v>
      </c>
      <c r="CR83" s="95"/>
      <c r="CS83" s="95"/>
      <c r="CT83" s="95"/>
      <c r="CU83" s="95"/>
      <c r="CV83" s="95"/>
      <c r="CW83" s="95"/>
      <c r="CX83" s="95"/>
      <c r="CY83" s="95"/>
      <c r="CZ83" s="95"/>
      <c r="DA83" s="95"/>
      <c r="DB83" s="95"/>
      <c r="DC83" s="95"/>
      <c r="DD83" s="95"/>
      <c r="DE83" s="95"/>
      <c r="DF83" s="95"/>
      <c r="DG83" s="95"/>
      <c r="DH83" s="95"/>
      <c r="DI83" s="95"/>
      <c r="DJ83" s="95"/>
      <c r="DK83" s="95"/>
    </row>
    <row r="84" spans="1:115" ht="14.25" customHeight="1" thickBot="1" x14ac:dyDescent="0.45">
      <c r="A84" s="88"/>
      <c r="B84" s="91" t="s">
        <v>102</v>
      </c>
      <c r="C84" s="92">
        <f t="shared" ref="C84:C104" si="318">SUM(E84:CQ84)-Q84-AD84-AQ84-BD84-BQ84-CD84-CQ84</f>
        <v>-933846938.89999986</v>
      </c>
      <c r="D84" s="93"/>
      <c r="E84" s="93">
        <f t="shared" ref="E84:P84" si="319">SUM(E85:E104)</f>
        <v>-9407729</v>
      </c>
      <c r="F84" s="93">
        <f t="shared" si="319"/>
        <v>0</v>
      </c>
      <c r="G84" s="93">
        <f t="shared" si="319"/>
        <v>-21658722.5</v>
      </c>
      <c r="H84" s="93">
        <f t="shared" si="319"/>
        <v>-2822318.6999999997</v>
      </c>
      <c r="I84" s="93">
        <f t="shared" si="319"/>
        <v>-21133051.050000001</v>
      </c>
      <c r="J84" s="93">
        <f t="shared" si="319"/>
        <v>-10735140.65</v>
      </c>
      <c r="K84" s="93">
        <f t="shared" si="319"/>
        <v>-13411971.75</v>
      </c>
      <c r="L84" s="93">
        <f t="shared" si="319"/>
        <v>-23481989.75</v>
      </c>
      <c r="M84" s="93">
        <f t="shared" si="319"/>
        <v>-28456742.75</v>
      </c>
      <c r="N84" s="93">
        <f t="shared" si="319"/>
        <v>-32899397.75</v>
      </c>
      <c r="O84" s="93">
        <f t="shared" si="319"/>
        <v>-40765582.75</v>
      </c>
      <c r="P84" s="93">
        <f t="shared" si="319"/>
        <v>-43727352.75</v>
      </c>
      <c r="Q84" s="113">
        <f t="shared" si="310"/>
        <v>-248499999.40000001</v>
      </c>
      <c r="R84" s="93">
        <f t="shared" ref="R84:Z84" si="320">SUM(R85:R104)</f>
        <v>-44534307.5</v>
      </c>
      <c r="S84" s="93">
        <f t="shared" si="320"/>
        <v>-44534307.5</v>
      </c>
      <c r="T84" s="93">
        <f t="shared" si="320"/>
        <v>-46343928</v>
      </c>
      <c r="U84" s="93">
        <f t="shared" si="320"/>
        <v>-46343928</v>
      </c>
      <c r="V84" s="93">
        <f t="shared" si="320"/>
        <v>-46343928</v>
      </c>
      <c r="W84" s="93">
        <f t="shared" si="320"/>
        <v>-46343928</v>
      </c>
      <c r="X84" s="93">
        <f t="shared" si="320"/>
        <v>-46343928</v>
      </c>
      <c r="Y84" s="93">
        <f t="shared" si="320"/>
        <v>-46343928</v>
      </c>
      <c r="Z84" s="93">
        <f t="shared" si="320"/>
        <v>-46343928</v>
      </c>
      <c r="AA84" s="93">
        <f>SUM(AA85:AA104)</f>
        <v>-46343928</v>
      </c>
      <c r="AB84" s="93">
        <f>SUM(AB85:AB104)</f>
        <v>-46343928</v>
      </c>
      <c r="AC84" s="93">
        <f>SUM(AC85:AC104)</f>
        <v>-46343928</v>
      </c>
      <c r="AD84" s="113">
        <f t="shared" si="304"/>
        <v>-552507895</v>
      </c>
      <c r="AE84" s="93">
        <f>SUM(AE85:AE104)</f>
        <v>-46343928</v>
      </c>
      <c r="AF84" s="93">
        <f>SUM(AF85:AF104)</f>
        <v>-31535078</v>
      </c>
      <c r="AG84" s="93">
        <f>SUM(AG85:AG104)</f>
        <v>-23465530.5</v>
      </c>
      <c r="AH84" s="93">
        <f t="shared" ref="AH84:AP84" si="321">SUM(AH85:AH104)</f>
        <v>-16061105.5</v>
      </c>
      <c r="AI84" s="93">
        <f t="shared" si="321"/>
        <v>-7387965.75</v>
      </c>
      <c r="AJ84" s="93">
        <f t="shared" si="321"/>
        <v>-4426195.75</v>
      </c>
      <c r="AK84" s="93">
        <f t="shared" si="321"/>
        <v>-1809620.5</v>
      </c>
      <c r="AL84" s="93">
        <f t="shared" si="321"/>
        <v>-1809620.5</v>
      </c>
      <c r="AM84" s="93">
        <f t="shared" si="321"/>
        <v>0</v>
      </c>
      <c r="AN84" s="93">
        <f>SUM(AN85:AN104)</f>
        <v>0</v>
      </c>
      <c r="AO84" s="93">
        <f t="shared" si="321"/>
        <v>0</v>
      </c>
      <c r="AP84" s="93">
        <f t="shared" si="321"/>
        <v>0</v>
      </c>
      <c r="AQ84" s="113">
        <f t="shared" ref="AQ84:AQ91" si="322">SUM(AE84:AP84)</f>
        <v>-132839044.5</v>
      </c>
      <c r="AR84" s="93">
        <f t="shared" ref="AR84:AY84" si="323">SUM(AR85:AR104)</f>
        <v>0</v>
      </c>
      <c r="AS84" s="93">
        <f t="shared" si="323"/>
        <v>0</v>
      </c>
      <c r="AT84" s="93">
        <f t="shared" si="323"/>
        <v>0</v>
      </c>
      <c r="AU84" s="93">
        <f t="shared" si="323"/>
        <v>0</v>
      </c>
      <c r="AV84" s="93">
        <f t="shared" si="323"/>
        <v>0</v>
      </c>
      <c r="AW84" s="93">
        <f t="shared" si="323"/>
        <v>0</v>
      </c>
      <c r="AX84" s="93">
        <f t="shared" si="323"/>
        <v>0</v>
      </c>
      <c r="AY84" s="93">
        <f t="shared" si="323"/>
        <v>0</v>
      </c>
      <c r="AZ84" s="93">
        <f t="shared" ref="AZ84:BA84" si="324">SUM(AZ85:AZ102)</f>
        <v>0</v>
      </c>
      <c r="BA84" s="93">
        <f t="shared" si="324"/>
        <v>0</v>
      </c>
      <c r="BB84" s="93">
        <f>SUM(BB85:BB99)</f>
        <v>0</v>
      </c>
      <c r="BC84" s="93">
        <f>SUM(BC85:BC104)</f>
        <v>0</v>
      </c>
      <c r="BD84" s="113">
        <f t="shared" ref="BD84:BD104" si="325">SUM(AR84:BC84)</f>
        <v>0</v>
      </c>
      <c r="BE84" s="93">
        <f>SUM(BE85:BE104)</f>
        <v>0</v>
      </c>
      <c r="BF84" s="93">
        <f>SUM(BF85:BF104)</f>
        <v>0</v>
      </c>
      <c r="BG84" s="93">
        <f t="shared" ref="BG84:BP84" si="326">SUM(BG85:BG104)</f>
        <v>0</v>
      </c>
      <c r="BH84" s="93">
        <f t="shared" si="326"/>
        <v>0</v>
      </c>
      <c r="BI84" s="93">
        <f t="shared" si="326"/>
        <v>0</v>
      </c>
      <c r="BJ84" s="93">
        <f t="shared" si="326"/>
        <v>0</v>
      </c>
      <c r="BK84" s="93">
        <f t="shared" si="326"/>
        <v>0</v>
      </c>
      <c r="BL84" s="93">
        <f t="shared" si="326"/>
        <v>0</v>
      </c>
      <c r="BM84" s="93">
        <f t="shared" si="326"/>
        <v>0</v>
      </c>
      <c r="BN84" s="93">
        <f t="shared" si="326"/>
        <v>0</v>
      </c>
      <c r="BO84" s="93">
        <f t="shared" si="326"/>
        <v>0</v>
      </c>
      <c r="BP84" s="93">
        <f t="shared" si="326"/>
        <v>0</v>
      </c>
      <c r="BQ84" s="113">
        <f t="shared" si="306"/>
        <v>0</v>
      </c>
      <c r="BR84" s="93">
        <f t="shared" ref="BR84:CC84" si="327">SUM(BR85:BR104)</f>
        <v>0</v>
      </c>
      <c r="BS84" s="93">
        <f t="shared" si="327"/>
        <v>0</v>
      </c>
      <c r="BT84" s="93">
        <f t="shared" si="327"/>
        <v>0</v>
      </c>
      <c r="BU84" s="93">
        <f t="shared" si="327"/>
        <v>0</v>
      </c>
      <c r="BV84" s="93">
        <f t="shared" si="327"/>
        <v>0</v>
      </c>
      <c r="BW84" s="93">
        <f t="shared" si="327"/>
        <v>0</v>
      </c>
      <c r="BX84" s="93">
        <f t="shared" si="327"/>
        <v>0</v>
      </c>
      <c r="BY84" s="93">
        <f t="shared" si="327"/>
        <v>0</v>
      </c>
      <c r="BZ84" s="93">
        <f t="shared" si="327"/>
        <v>0</v>
      </c>
      <c r="CA84" s="93">
        <f t="shared" si="327"/>
        <v>0</v>
      </c>
      <c r="CB84" s="93">
        <f t="shared" si="327"/>
        <v>0</v>
      </c>
      <c r="CC84" s="93">
        <f t="shared" si="327"/>
        <v>0</v>
      </c>
      <c r="CD84" s="113">
        <f t="shared" si="307"/>
        <v>0</v>
      </c>
      <c r="CE84" s="93">
        <f t="shared" ref="CE84:CP84" si="328">SUM(CE85:CE104)</f>
        <v>0</v>
      </c>
      <c r="CF84" s="93">
        <f t="shared" si="328"/>
        <v>0</v>
      </c>
      <c r="CG84" s="93">
        <f t="shared" si="328"/>
        <v>0</v>
      </c>
      <c r="CH84" s="93">
        <f t="shared" si="328"/>
        <v>0</v>
      </c>
      <c r="CI84" s="93">
        <f t="shared" si="328"/>
        <v>0</v>
      </c>
      <c r="CJ84" s="93">
        <f t="shared" si="328"/>
        <v>0</v>
      </c>
      <c r="CK84" s="93">
        <f t="shared" si="328"/>
        <v>0</v>
      </c>
      <c r="CL84" s="93">
        <f t="shared" si="328"/>
        <v>0</v>
      </c>
      <c r="CM84" s="93">
        <f t="shared" si="328"/>
        <v>0</v>
      </c>
      <c r="CN84" s="93">
        <f t="shared" si="328"/>
        <v>0</v>
      </c>
      <c r="CO84" s="93">
        <f t="shared" si="328"/>
        <v>0</v>
      </c>
      <c r="CP84" s="112">
        <f t="shared" si="328"/>
        <v>0</v>
      </c>
      <c r="CQ84" s="93">
        <f t="shared" si="308"/>
        <v>0</v>
      </c>
      <c r="CR84" s="101"/>
      <c r="CS84" s="101"/>
      <c r="CT84" s="101"/>
      <c r="CU84" s="101"/>
      <c r="CV84" s="101"/>
      <c r="CW84" s="101"/>
      <c r="CX84" s="101"/>
      <c r="CY84" s="101"/>
      <c r="CZ84" s="101"/>
      <c r="DA84" s="101"/>
      <c r="DB84" s="101"/>
      <c r="DC84" s="101"/>
      <c r="DD84" s="101"/>
      <c r="DE84" s="101"/>
      <c r="DF84" s="101"/>
      <c r="DG84" s="101"/>
      <c r="DH84" s="101"/>
      <c r="DI84" s="101"/>
      <c r="DJ84" s="101"/>
      <c r="DK84" s="101"/>
    </row>
    <row r="85" spans="1:115" ht="14.25" customHeight="1" outlineLevel="1" x14ac:dyDescent="0.4">
      <c r="A85" s="94">
        <v>15</v>
      </c>
      <c r="B85" s="95" t="s">
        <v>103</v>
      </c>
      <c r="C85" s="39">
        <f t="shared" si="318"/>
        <v>-53312306.899999999</v>
      </c>
      <c r="D85" s="95"/>
      <c r="E85" s="87">
        <f>-'Processing Equipment'!C5</f>
        <v>-9407729</v>
      </c>
      <c r="F85" s="95"/>
      <c r="G85" s="87">
        <f>-'Processing Equipment'!E6-'Processing Equipment'!E10-'Processing Equipment'!E15</f>
        <v>-21658722.5</v>
      </c>
      <c r="H85" s="87">
        <f>-'Processing Equipment'!F7</f>
        <v>-2822318.6999999997</v>
      </c>
      <c r="I85" s="87">
        <f>-'Processing Equipment'!G8-'Processing Equipment'!G11</f>
        <v>-6324201.0499999998</v>
      </c>
      <c r="J85" s="87">
        <f>-'Processing Equipment'!H12</f>
        <v>-2665593.15</v>
      </c>
      <c r="K85" s="87">
        <f>-'Processing Equipment'!I13-'Processing Equipment'!I16</f>
        <v>-6007546.75</v>
      </c>
      <c r="L85" s="87"/>
      <c r="M85" s="87">
        <f>-'Processing Equipment'!K17</f>
        <v>-2616575.25</v>
      </c>
      <c r="N85" s="87" t="s">
        <v>104</v>
      </c>
      <c r="O85" s="87">
        <f>-'Processing Equipment'!M18</f>
        <v>-1809620.5</v>
      </c>
      <c r="P85" s="87"/>
      <c r="Q85" s="89">
        <f t="shared" si="310"/>
        <v>-53312306.899999999</v>
      </c>
      <c r="R85" s="87"/>
      <c r="S85" s="87"/>
      <c r="T85" s="87"/>
      <c r="U85" s="87"/>
      <c r="V85" s="87"/>
      <c r="W85" s="87"/>
      <c r="X85" s="87"/>
      <c r="Y85" s="87"/>
      <c r="Z85" s="87"/>
      <c r="AA85" s="87"/>
      <c r="AB85" s="87"/>
      <c r="AC85" s="87"/>
      <c r="AD85" s="89">
        <f t="shared" si="304"/>
        <v>0</v>
      </c>
      <c r="AE85" s="87"/>
      <c r="AF85" s="87"/>
      <c r="AG85" s="87"/>
      <c r="AH85" s="87"/>
      <c r="AI85" s="87"/>
      <c r="AJ85" s="87"/>
      <c r="AK85" s="87"/>
      <c r="AL85" s="87"/>
      <c r="AM85" s="87"/>
      <c r="AN85" s="87"/>
      <c r="AO85" s="87"/>
      <c r="AP85" s="87"/>
      <c r="AQ85" s="89">
        <f t="shared" si="322"/>
        <v>0</v>
      </c>
      <c r="AR85" s="87"/>
      <c r="AS85" s="87"/>
      <c r="AT85" s="87"/>
      <c r="AU85" s="87"/>
      <c r="AV85" s="87"/>
      <c r="AW85" s="87"/>
      <c r="AX85" s="87"/>
      <c r="AY85" s="87"/>
      <c r="AZ85" s="87"/>
      <c r="BA85" s="87"/>
      <c r="BB85" s="87"/>
      <c r="BC85" s="87"/>
      <c r="BD85" s="89">
        <f t="shared" si="325"/>
        <v>0</v>
      </c>
      <c r="BE85" s="87"/>
      <c r="BF85" s="87"/>
      <c r="BG85" s="87"/>
      <c r="BH85" s="87"/>
      <c r="BI85" s="87"/>
      <c r="BJ85" s="87"/>
      <c r="BK85" s="87"/>
      <c r="BL85" s="87"/>
      <c r="BM85" s="87"/>
      <c r="BN85" s="87"/>
      <c r="BO85" s="87"/>
      <c r="BP85" s="87"/>
      <c r="BQ85" s="89">
        <f t="shared" si="306"/>
        <v>0</v>
      </c>
      <c r="BR85" s="87"/>
      <c r="BS85" s="87"/>
      <c r="BT85" s="87"/>
      <c r="BU85" s="87"/>
      <c r="BV85" s="87"/>
      <c r="BW85" s="87"/>
      <c r="BX85" s="87"/>
      <c r="BY85" s="87"/>
      <c r="BZ85" s="87"/>
      <c r="CA85" s="87"/>
      <c r="CB85" s="87"/>
      <c r="CC85" s="87"/>
      <c r="CD85" s="89">
        <f t="shared" si="307"/>
        <v>0</v>
      </c>
      <c r="CE85" s="87"/>
      <c r="CF85" s="87"/>
      <c r="CG85" s="87"/>
      <c r="CH85" s="87"/>
      <c r="CI85" s="87"/>
      <c r="CJ85" s="87"/>
      <c r="CK85" s="87"/>
      <c r="CL85" s="87"/>
      <c r="CM85" s="87"/>
      <c r="CN85" s="87"/>
      <c r="CO85" s="87"/>
      <c r="CP85" s="38"/>
      <c r="CQ85" s="86">
        <f t="shared" si="308"/>
        <v>0</v>
      </c>
      <c r="CR85" s="95"/>
      <c r="CS85" s="95"/>
      <c r="CT85" s="95"/>
      <c r="CU85" s="95"/>
      <c r="CV85" s="95"/>
      <c r="CW85" s="95"/>
      <c r="CX85" s="95"/>
      <c r="CY85" s="95"/>
      <c r="CZ85" s="95"/>
      <c r="DA85" s="95"/>
      <c r="DB85" s="95"/>
      <c r="DC85" s="95"/>
      <c r="DD85" s="95"/>
      <c r="DE85" s="95"/>
      <c r="DF85" s="95"/>
      <c r="DG85" s="95"/>
      <c r="DH85" s="95"/>
      <c r="DI85" s="95"/>
      <c r="DJ85" s="95"/>
      <c r="DK85" s="95"/>
    </row>
    <row r="86" spans="1:115" ht="14.25" customHeight="1" outlineLevel="1" x14ac:dyDescent="0.4">
      <c r="A86" s="94"/>
      <c r="B86" s="95" t="s">
        <v>105</v>
      </c>
      <c r="C86" s="39">
        <f t="shared" si="318"/>
        <v>-46343928</v>
      </c>
      <c r="D86" s="95"/>
      <c r="E86" s="87"/>
      <c r="F86" s="95"/>
      <c r="G86" s="95"/>
      <c r="H86" s="95"/>
      <c r="I86" s="87">
        <f>-'Processing Equipment'!G20</f>
        <v>-14808850</v>
      </c>
      <c r="J86" s="87">
        <f>-'Processing Equipment'!H25</f>
        <v>-8069547.5</v>
      </c>
      <c r="K86" s="87">
        <f>-'Processing Equipment'!I21</f>
        <v>-7404425</v>
      </c>
      <c r="L86" s="87">
        <f>-'Processing Equipment'!J22-'Processing Equipment'!J26</f>
        <v>-8673139.75</v>
      </c>
      <c r="M86" s="87">
        <f>-'Processing Equipment'!K23</f>
        <v>-2961770</v>
      </c>
      <c r="N86" s="87">
        <f>-'Processing Equipment'!L27</f>
        <v>-2616575.25</v>
      </c>
      <c r="P86" s="87">
        <f>-'Processing Equipment'!N28</f>
        <v>-1809620.5</v>
      </c>
      <c r="Q86" s="89">
        <f t="shared" si="310"/>
        <v>-46343928</v>
      </c>
      <c r="R86" s="87"/>
      <c r="T86" s="87"/>
      <c r="U86" s="87"/>
      <c r="V86" s="87"/>
      <c r="W86" s="87"/>
      <c r="X86" s="87"/>
      <c r="Y86" s="87">
        <f>V86*0.2</f>
        <v>0</v>
      </c>
      <c r="Z86" s="87"/>
      <c r="AA86" s="87"/>
      <c r="AB86" s="87"/>
      <c r="AC86" s="87"/>
      <c r="AD86" s="89">
        <f>SUM(R86:AC86)</f>
        <v>0</v>
      </c>
      <c r="AE86" s="87"/>
      <c r="AF86" s="87"/>
      <c r="AG86" s="87"/>
      <c r="AH86" s="87"/>
      <c r="AI86" s="87"/>
      <c r="AJ86" s="87"/>
      <c r="AK86" s="87"/>
      <c r="AL86" s="87"/>
      <c r="AM86" s="87"/>
      <c r="AN86" s="87"/>
      <c r="AO86" s="87"/>
      <c r="AP86" s="87"/>
      <c r="AQ86" s="89">
        <f t="shared" si="322"/>
        <v>0</v>
      </c>
      <c r="AR86" s="87"/>
      <c r="AS86" s="87"/>
      <c r="AT86" s="87"/>
      <c r="AU86" s="87"/>
      <c r="AV86" s="87"/>
      <c r="AW86" s="87"/>
      <c r="AX86" s="87"/>
      <c r="AY86" s="87"/>
      <c r="AZ86" s="87"/>
      <c r="BA86" s="87"/>
      <c r="BB86" s="87"/>
      <c r="BC86" s="87"/>
      <c r="BD86" s="89">
        <f t="shared" si="325"/>
        <v>0</v>
      </c>
      <c r="BE86" s="87"/>
      <c r="BF86" s="87"/>
      <c r="BG86" s="87"/>
      <c r="BH86" s="87"/>
      <c r="BI86" s="87"/>
      <c r="BJ86" s="87"/>
      <c r="BK86" s="87"/>
      <c r="BL86" s="87"/>
      <c r="BM86" s="87"/>
      <c r="BN86" s="87"/>
      <c r="BO86" s="87"/>
      <c r="BP86" s="87"/>
      <c r="BQ86" s="89">
        <f t="shared" si="306"/>
        <v>0</v>
      </c>
      <c r="BR86" s="87"/>
      <c r="BS86" s="87"/>
      <c r="BT86" s="87"/>
      <c r="BU86" s="87"/>
      <c r="BV86" s="87"/>
      <c r="BW86" s="87"/>
      <c r="BX86" s="87"/>
      <c r="BY86" s="87"/>
      <c r="BZ86" s="87"/>
      <c r="CA86" s="87"/>
      <c r="CB86" s="87"/>
      <c r="CC86" s="87"/>
      <c r="CD86" s="89">
        <f t="shared" si="307"/>
        <v>0</v>
      </c>
      <c r="CE86" s="87"/>
      <c r="CF86" s="87"/>
      <c r="CG86" s="87"/>
      <c r="CH86" s="87"/>
      <c r="CI86" s="87"/>
      <c r="CJ86" s="87"/>
      <c r="CK86" s="87"/>
      <c r="CL86" s="87"/>
      <c r="CM86" s="87"/>
      <c r="CN86" s="87"/>
      <c r="CO86" s="87"/>
      <c r="CP86" s="38"/>
      <c r="CQ86" s="86">
        <f t="shared" si="308"/>
        <v>0</v>
      </c>
      <c r="CR86" s="95"/>
      <c r="CS86" s="95"/>
      <c r="CT86" s="95"/>
      <c r="CU86" s="95"/>
      <c r="CV86" s="95"/>
      <c r="CW86" s="95"/>
      <c r="CX86" s="95"/>
      <c r="CY86" s="95"/>
      <c r="CZ86" s="95"/>
      <c r="DA86" s="95"/>
      <c r="DB86" s="95"/>
      <c r="DC86" s="95"/>
      <c r="DD86" s="95"/>
      <c r="DE86" s="95"/>
      <c r="DF86" s="95"/>
      <c r="DG86" s="95"/>
      <c r="DH86" s="95"/>
      <c r="DI86" s="95"/>
      <c r="DJ86" s="95"/>
      <c r="DK86" s="95"/>
    </row>
    <row r="87" spans="1:115" ht="14.25" customHeight="1" outlineLevel="1" x14ac:dyDescent="0.4">
      <c r="A87" s="94"/>
      <c r="B87" s="95" t="s">
        <v>106</v>
      </c>
      <c r="C87" s="39">
        <f t="shared" si="318"/>
        <v>-46343928</v>
      </c>
      <c r="D87" s="95"/>
      <c r="E87" s="87"/>
      <c r="F87" s="95"/>
      <c r="G87" s="95"/>
      <c r="H87" s="95"/>
      <c r="I87" s="95"/>
      <c r="J87" s="87"/>
      <c r="L87" s="87">
        <f>I86</f>
        <v>-14808850</v>
      </c>
      <c r="M87" s="87">
        <f>J86</f>
        <v>-8069547.5</v>
      </c>
      <c r="N87" s="87">
        <f>K86</f>
        <v>-7404425</v>
      </c>
      <c r="O87" s="87">
        <f>L86</f>
        <v>-8673139.75</v>
      </c>
      <c r="P87" s="87">
        <f>M86</f>
        <v>-2961770</v>
      </c>
      <c r="Q87" s="89">
        <f t="shared" si="310"/>
        <v>-41917732.25</v>
      </c>
      <c r="R87" s="87">
        <f>N86</f>
        <v>-2616575.25</v>
      </c>
      <c r="S87" s="87"/>
      <c r="T87" s="87">
        <f>P86</f>
        <v>-1809620.5</v>
      </c>
      <c r="V87" s="87"/>
      <c r="W87" s="87"/>
      <c r="X87" s="87"/>
      <c r="Y87" s="87">
        <f>X87*0.5</f>
        <v>0</v>
      </c>
      <c r="Z87" s="87">
        <f>Y87*3/5</f>
        <v>0</v>
      </c>
      <c r="AA87" s="87">
        <f>Z87*2/3</f>
        <v>0</v>
      </c>
      <c r="AB87" s="87"/>
      <c r="AC87" s="87"/>
      <c r="AD87" s="89">
        <f>SUM(P87:AC87)</f>
        <v>-49305698</v>
      </c>
      <c r="AE87" s="87"/>
      <c r="AF87" s="87"/>
      <c r="AG87" s="87"/>
      <c r="AH87" s="87"/>
      <c r="AI87" s="87"/>
      <c r="AJ87" s="87"/>
      <c r="AK87" s="87"/>
      <c r="AL87" s="87"/>
      <c r="AM87" s="87"/>
      <c r="AN87" s="87"/>
      <c r="AO87" s="87"/>
      <c r="AP87" s="87"/>
      <c r="AQ87" s="89">
        <f t="shared" si="322"/>
        <v>0</v>
      </c>
      <c r="AR87" s="87"/>
      <c r="AS87" s="87"/>
      <c r="AT87" s="87"/>
      <c r="AU87" s="87"/>
      <c r="AV87" s="87"/>
      <c r="AW87" s="87"/>
      <c r="AX87" s="87"/>
      <c r="AY87" s="87"/>
      <c r="AZ87" s="87"/>
      <c r="BA87" s="87"/>
      <c r="BB87" s="87"/>
      <c r="BC87" s="87"/>
      <c r="BD87" s="89">
        <f t="shared" si="325"/>
        <v>0</v>
      </c>
      <c r="BE87" s="87"/>
      <c r="BF87" s="87"/>
      <c r="BG87" s="87"/>
      <c r="BH87" s="87"/>
      <c r="BI87" s="87"/>
      <c r="BJ87" s="87"/>
      <c r="BK87" s="87"/>
      <c r="BL87" s="87"/>
      <c r="BM87" s="87"/>
      <c r="BN87" s="87"/>
      <c r="BO87" s="87"/>
      <c r="BP87" s="87"/>
      <c r="BQ87" s="89">
        <f t="shared" si="306"/>
        <v>0</v>
      </c>
      <c r="BR87" s="87"/>
      <c r="BS87" s="87"/>
      <c r="BT87" s="87"/>
      <c r="BU87" s="87"/>
      <c r="BV87" s="87"/>
      <c r="BW87" s="87"/>
      <c r="BX87" s="87"/>
      <c r="BY87" s="87"/>
      <c r="BZ87" s="87"/>
      <c r="CA87" s="87"/>
      <c r="CB87" s="87"/>
      <c r="CC87" s="87"/>
      <c r="CD87" s="89">
        <f t="shared" si="307"/>
        <v>0</v>
      </c>
      <c r="CE87" s="87"/>
      <c r="CF87" s="87"/>
      <c r="CG87" s="87"/>
      <c r="CH87" s="87"/>
      <c r="CI87" s="87"/>
      <c r="CJ87" s="87"/>
      <c r="CK87" s="87"/>
      <c r="CL87" s="87"/>
      <c r="CM87" s="87"/>
      <c r="CN87" s="87"/>
      <c r="CO87" s="87"/>
      <c r="CP87" s="38"/>
      <c r="CQ87" s="86">
        <f t="shared" si="308"/>
        <v>0</v>
      </c>
      <c r="CR87" s="95"/>
      <c r="CS87" s="95"/>
      <c r="CT87" s="95"/>
      <c r="CU87" s="95"/>
      <c r="CV87" s="95"/>
      <c r="CW87" s="95"/>
      <c r="CX87" s="95"/>
      <c r="CY87" s="95"/>
      <c r="CZ87" s="95"/>
      <c r="DA87" s="95"/>
      <c r="DB87" s="95"/>
      <c r="DC87" s="95"/>
      <c r="DD87" s="95"/>
      <c r="DE87" s="95"/>
      <c r="DF87" s="95"/>
      <c r="DG87" s="95"/>
      <c r="DH87" s="95"/>
      <c r="DI87" s="95"/>
      <c r="DJ87" s="95"/>
      <c r="DK87" s="95"/>
    </row>
    <row r="88" spans="1:115" ht="14.25" customHeight="1" outlineLevel="1" x14ac:dyDescent="0.4">
      <c r="A88" s="94"/>
      <c r="B88" s="95" t="s">
        <v>107</v>
      </c>
      <c r="C88" s="39">
        <f t="shared" si="318"/>
        <v>-46343928</v>
      </c>
      <c r="D88" s="95"/>
      <c r="E88" s="87"/>
      <c r="F88" s="95"/>
      <c r="G88" s="95"/>
      <c r="H88" s="95"/>
      <c r="I88" s="95"/>
      <c r="J88" s="87"/>
      <c r="K88" s="95"/>
      <c r="L88" s="95"/>
      <c r="M88" s="87">
        <f>L87</f>
        <v>-14808850</v>
      </c>
      <c r="N88" s="87">
        <f>M87</f>
        <v>-8069547.5</v>
      </c>
      <c r="O88" s="87">
        <f>N87</f>
        <v>-7404425</v>
      </c>
      <c r="P88" s="87">
        <f>O87</f>
        <v>-8673139.75</v>
      </c>
      <c r="Q88" s="89">
        <f t="shared" si="310"/>
        <v>-38955962.25</v>
      </c>
      <c r="R88" s="87">
        <f>P87</f>
        <v>-2961770</v>
      </c>
      <c r="S88" s="87">
        <f t="shared" ref="S88:S93" si="329">R87</f>
        <v>-2616575.25</v>
      </c>
      <c r="T88" s="87"/>
      <c r="U88" s="87">
        <f t="shared" ref="U88:U95" si="330">T87</f>
        <v>-1809620.5</v>
      </c>
      <c r="W88" s="87"/>
      <c r="X88" s="87">
        <f>$W88*0.1</f>
        <v>0</v>
      </c>
      <c r="Y88" s="87">
        <f>$W88*0.1</f>
        <v>0</v>
      </c>
      <c r="Z88" s="87">
        <f>$W88*0.1</f>
        <v>0</v>
      </c>
      <c r="AA88" s="87">
        <f>$W88*0.1</f>
        <v>0</v>
      </c>
      <c r="AB88" s="87">
        <f>$W88*0.1</f>
        <v>0</v>
      </c>
      <c r="AD88" s="89">
        <f t="shared" ref="AD88:AD103" si="331">SUM(P88:AC88)</f>
        <v>-55017067.75</v>
      </c>
      <c r="AE88" s="87"/>
      <c r="AF88" s="87"/>
      <c r="AG88" s="87"/>
      <c r="AH88" s="87"/>
      <c r="AI88" s="87"/>
      <c r="AJ88" s="87"/>
      <c r="AK88" s="87"/>
      <c r="AL88" s="87"/>
      <c r="AM88" s="87"/>
      <c r="AN88" s="87"/>
      <c r="AO88" s="87"/>
      <c r="AP88" s="87"/>
      <c r="AQ88" s="89">
        <f t="shared" si="322"/>
        <v>0</v>
      </c>
      <c r="AR88" s="87"/>
      <c r="AS88" s="87"/>
      <c r="AT88" s="87"/>
      <c r="AU88" s="87"/>
      <c r="AV88" s="87"/>
      <c r="AW88" s="87"/>
      <c r="AX88" s="87"/>
      <c r="AY88" s="87"/>
      <c r="AZ88" s="87"/>
      <c r="BA88" s="87"/>
      <c r="BB88" s="87"/>
      <c r="BC88" s="87"/>
      <c r="BD88" s="89">
        <f t="shared" si="325"/>
        <v>0</v>
      </c>
      <c r="BE88" s="87"/>
      <c r="BF88" s="87"/>
      <c r="BG88" s="87"/>
      <c r="BH88" s="87"/>
      <c r="BI88" s="87"/>
      <c r="BJ88" s="87"/>
      <c r="BK88" s="87"/>
      <c r="BL88" s="87"/>
      <c r="BM88" s="87"/>
      <c r="BN88" s="87"/>
      <c r="BO88" s="87"/>
      <c r="BP88" s="87"/>
      <c r="BQ88" s="89">
        <f t="shared" si="306"/>
        <v>0</v>
      </c>
      <c r="BR88" s="87"/>
      <c r="BS88" s="87"/>
      <c r="BT88" s="87"/>
      <c r="BU88" s="87"/>
      <c r="BV88" s="87"/>
      <c r="BW88" s="87"/>
      <c r="BX88" s="87"/>
      <c r="BY88" s="87"/>
      <c r="BZ88" s="87"/>
      <c r="CA88" s="87"/>
      <c r="CB88" s="87"/>
      <c r="CC88" s="87"/>
      <c r="CD88" s="89">
        <f t="shared" si="307"/>
        <v>0</v>
      </c>
      <c r="CE88" s="87"/>
      <c r="CF88" s="87"/>
      <c r="CG88" s="87"/>
      <c r="CH88" s="87"/>
      <c r="CI88" s="87"/>
      <c r="CJ88" s="87"/>
      <c r="CK88" s="87"/>
      <c r="CL88" s="87"/>
      <c r="CM88" s="87"/>
      <c r="CN88" s="87"/>
      <c r="CO88" s="87"/>
      <c r="CP88" s="38"/>
      <c r="CQ88" s="86">
        <f t="shared" si="308"/>
        <v>0</v>
      </c>
      <c r="CR88" s="95"/>
      <c r="CS88" s="95"/>
      <c r="CT88" s="95"/>
      <c r="CU88" s="95"/>
      <c r="CV88" s="95"/>
      <c r="CW88" s="95"/>
      <c r="CX88" s="95"/>
      <c r="CY88" s="95"/>
      <c r="CZ88" s="95"/>
      <c r="DA88" s="95"/>
      <c r="DB88" s="95"/>
      <c r="DC88" s="95"/>
      <c r="DD88" s="95"/>
      <c r="DE88" s="95"/>
      <c r="DF88" s="95"/>
      <c r="DG88" s="95"/>
      <c r="DH88" s="95"/>
      <c r="DI88" s="95"/>
      <c r="DJ88" s="95"/>
      <c r="DK88" s="95"/>
    </row>
    <row r="89" spans="1:115" ht="14.25" customHeight="1" outlineLevel="1" x14ac:dyDescent="0.4">
      <c r="A89" s="94"/>
      <c r="B89" s="95" t="s">
        <v>108</v>
      </c>
      <c r="C89" s="39">
        <f t="shared" si="318"/>
        <v>-46343928</v>
      </c>
      <c r="D89" s="107"/>
      <c r="E89" s="87"/>
      <c r="F89" s="95"/>
      <c r="G89" s="95"/>
      <c r="H89" s="95"/>
      <c r="I89" s="95"/>
      <c r="J89" s="87"/>
      <c r="K89" s="95"/>
      <c r="L89" s="95"/>
      <c r="M89" s="87"/>
      <c r="N89" s="87">
        <f>M88</f>
        <v>-14808850</v>
      </c>
      <c r="O89" s="87">
        <f>N88</f>
        <v>-8069547.5</v>
      </c>
      <c r="P89" s="87">
        <f>O88</f>
        <v>-7404425</v>
      </c>
      <c r="Q89" s="89">
        <f t="shared" si="310"/>
        <v>-30282822.5</v>
      </c>
      <c r="R89" s="87">
        <f>P88</f>
        <v>-8673139.75</v>
      </c>
      <c r="S89" s="87">
        <f t="shared" si="329"/>
        <v>-2961770</v>
      </c>
      <c r="T89" s="87">
        <f t="shared" ref="T89:T94" si="332">S88</f>
        <v>-2616575.25</v>
      </c>
      <c r="U89" s="87">
        <f t="shared" si="330"/>
        <v>0</v>
      </c>
      <c r="V89" s="87">
        <f t="shared" ref="V89:V96" si="333">U88</f>
        <v>-1809620.5</v>
      </c>
      <c r="W89" s="87">
        <f>SUM(Z87:Z88)</f>
        <v>0</v>
      </c>
      <c r="X89" s="87">
        <f>SUM(AA87:AA88)</f>
        <v>0</v>
      </c>
      <c r="AA89" s="87">
        <f>SUM(AB87:AB88)</f>
        <v>0</v>
      </c>
      <c r="AB89" s="87">
        <f>SUM(AC87:AC88)</f>
        <v>0</v>
      </c>
      <c r="AD89" s="89">
        <f t="shared" si="331"/>
        <v>-53748353</v>
      </c>
      <c r="AE89" s="87">
        <f>Y88</f>
        <v>0</v>
      </c>
      <c r="AF89" s="87">
        <f t="shared" ref="AF89:AG89" si="334">AE89</f>
        <v>0</v>
      </c>
      <c r="AG89" s="87">
        <f t="shared" si="334"/>
        <v>0</v>
      </c>
      <c r="AH89" s="87"/>
      <c r="AI89" s="87"/>
      <c r="AJ89" s="87"/>
      <c r="AK89" s="87"/>
      <c r="AL89" s="87"/>
      <c r="AM89" s="87"/>
      <c r="AN89" s="87"/>
      <c r="AO89" s="87"/>
      <c r="AP89" s="87"/>
      <c r="AQ89" s="89">
        <f t="shared" si="322"/>
        <v>0</v>
      </c>
      <c r="AR89" s="87"/>
      <c r="AS89" s="87"/>
      <c r="AT89" s="87"/>
      <c r="AU89" s="87"/>
      <c r="AV89" s="87"/>
      <c r="AW89" s="87"/>
      <c r="AX89" s="87"/>
      <c r="AY89" s="87"/>
      <c r="AZ89" s="87"/>
      <c r="BA89" s="87"/>
      <c r="BB89" s="87"/>
      <c r="BC89" s="87"/>
      <c r="BD89" s="89">
        <f t="shared" si="325"/>
        <v>0</v>
      </c>
      <c r="BE89" s="87"/>
      <c r="BF89" s="87"/>
      <c r="BG89" s="87"/>
      <c r="BH89" s="87"/>
      <c r="BI89" s="87"/>
      <c r="BJ89" s="87"/>
      <c r="BK89" s="87"/>
      <c r="BL89" s="87"/>
      <c r="BM89" s="87"/>
      <c r="BN89" s="87"/>
      <c r="BO89" s="87"/>
      <c r="BP89" s="87"/>
      <c r="BQ89" s="89">
        <f t="shared" si="306"/>
        <v>0</v>
      </c>
      <c r="BR89" s="87"/>
      <c r="BS89" s="87"/>
      <c r="BT89" s="87"/>
      <c r="BU89" s="87"/>
      <c r="BV89" s="87"/>
      <c r="BW89" s="87"/>
      <c r="BX89" s="87"/>
      <c r="BY89" s="87"/>
      <c r="BZ89" s="87"/>
      <c r="CA89" s="87"/>
      <c r="CB89" s="87"/>
      <c r="CC89" s="87"/>
      <c r="CD89" s="89">
        <f t="shared" si="307"/>
        <v>0</v>
      </c>
      <c r="CE89" s="87"/>
      <c r="CF89" s="87"/>
      <c r="CG89" s="87"/>
      <c r="CH89" s="87"/>
      <c r="CI89" s="87"/>
      <c r="CJ89" s="87"/>
      <c r="CK89" s="87"/>
      <c r="CL89" s="87"/>
      <c r="CM89" s="87"/>
      <c r="CN89" s="87"/>
      <c r="CO89" s="87"/>
      <c r="CP89" s="38"/>
      <c r="CQ89" s="86">
        <f t="shared" si="308"/>
        <v>0</v>
      </c>
      <c r="CR89" s="95"/>
      <c r="CS89" s="95"/>
      <c r="CT89" s="95"/>
      <c r="CU89" s="95"/>
      <c r="CV89" s="95"/>
      <c r="CW89" s="95"/>
      <c r="CX89" s="95"/>
      <c r="CY89" s="95"/>
      <c r="CZ89" s="95"/>
      <c r="DA89" s="95"/>
      <c r="DB89" s="95"/>
      <c r="DC89" s="95"/>
      <c r="DD89" s="95"/>
      <c r="DE89" s="95"/>
      <c r="DF89" s="95"/>
      <c r="DG89" s="95"/>
      <c r="DH89" s="95"/>
      <c r="DI89" s="95"/>
      <c r="DJ89" s="95"/>
      <c r="DK89" s="95"/>
    </row>
    <row r="90" spans="1:115" ht="14.25" customHeight="1" outlineLevel="1" x14ac:dyDescent="0.4">
      <c r="A90" s="94"/>
      <c r="B90" s="95" t="s">
        <v>109</v>
      </c>
      <c r="C90" s="39">
        <f t="shared" si="318"/>
        <v>-46343928</v>
      </c>
      <c r="D90" s="107"/>
      <c r="E90" s="95"/>
      <c r="F90" s="95"/>
      <c r="G90" s="95"/>
      <c r="H90" s="95"/>
      <c r="I90" s="95"/>
      <c r="J90" s="87"/>
      <c r="K90" s="87"/>
      <c r="L90" s="87"/>
      <c r="M90" s="87"/>
      <c r="N90" s="87"/>
      <c r="O90" s="87">
        <f>N89</f>
        <v>-14808850</v>
      </c>
      <c r="P90" s="87">
        <f>O89</f>
        <v>-8069547.5</v>
      </c>
      <c r="Q90" s="89">
        <f t="shared" si="310"/>
        <v>-22878397.5</v>
      </c>
      <c r="R90" s="87">
        <f>P89</f>
        <v>-7404425</v>
      </c>
      <c r="S90" s="87">
        <f t="shared" si="329"/>
        <v>-8673139.75</v>
      </c>
      <c r="T90" s="87">
        <f t="shared" si="332"/>
        <v>-2961770</v>
      </c>
      <c r="U90" s="87">
        <f t="shared" si="330"/>
        <v>-2616575.25</v>
      </c>
      <c r="V90" s="87">
        <f t="shared" si="333"/>
        <v>0</v>
      </c>
      <c r="W90" s="87">
        <f t="shared" ref="W90:W97" si="335">V89</f>
        <v>-1809620.5</v>
      </c>
      <c r="AA90" s="87"/>
      <c r="AB90" s="87"/>
      <c r="AD90" s="89">
        <f t="shared" si="331"/>
        <v>-54413475.5</v>
      </c>
      <c r="AE90" s="87"/>
      <c r="AF90" s="87"/>
      <c r="AG90" s="87"/>
      <c r="AH90" s="87"/>
      <c r="AI90" s="87"/>
      <c r="AJ90" s="87"/>
      <c r="AK90" s="87"/>
      <c r="AL90" s="87"/>
      <c r="AM90" s="87"/>
      <c r="AN90" s="87"/>
      <c r="AO90" s="87"/>
      <c r="AP90" s="87"/>
      <c r="AQ90" s="89">
        <f t="shared" si="322"/>
        <v>0</v>
      </c>
      <c r="AR90" s="87"/>
      <c r="AS90" s="87"/>
      <c r="AT90" s="87"/>
      <c r="AU90" s="87"/>
      <c r="AV90" s="87"/>
      <c r="AW90" s="87"/>
      <c r="AX90" s="87"/>
      <c r="AY90" s="87"/>
      <c r="AZ90" s="87"/>
      <c r="BA90" s="87"/>
      <c r="BB90" s="87"/>
      <c r="BC90" s="87"/>
      <c r="BD90" s="89">
        <f t="shared" si="325"/>
        <v>0</v>
      </c>
      <c r="BE90" s="87"/>
      <c r="BF90" s="87"/>
      <c r="BG90" s="87"/>
      <c r="BH90" s="87"/>
      <c r="BI90" s="87"/>
      <c r="BJ90" s="87"/>
      <c r="BK90" s="87"/>
      <c r="BL90" s="87"/>
      <c r="BM90" s="87"/>
      <c r="BN90" s="87"/>
      <c r="BO90" s="87"/>
      <c r="BP90" s="87"/>
      <c r="BQ90" s="89">
        <f t="shared" si="306"/>
        <v>0</v>
      </c>
      <c r="BR90" s="87"/>
      <c r="BS90" s="87"/>
      <c r="BT90" s="87"/>
      <c r="BU90" s="87"/>
      <c r="BV90" s="87"/>
      <c r="BW90" s="87"/>
      <c r="BX90" s="87"/>
      <c r="BY90" s="87"/>
      <c r="BZ90" s="87"/>
      <c r="CA90" s="87"/>
      <c r="CB90" s="87"/>
      <c r="CC90" s="87"/>
      <c r="CD90" s="89">
        <f t="shared" si="307"/>
        <v>0</v>
      </c>
      <c r="CE90" s="87"/>
      <c r="CF90" s="87"/>
      <c r="CG90" s="87"/>
      <c r="CH90" s="87"/>
      <c r="CI90" s="87"/>
      <c r="CJ90" s="87"/>
      <c r="CK90" s="87"/>
      <c r="CL90" s="87"/>
      <c r="CM90" s="87"/>
      <c r="CN90" s="87"/>
      <c r="CO90" s="87"/>
      <c r="CP90" s="38"/>
      <c r="CQ90" s="86">
        <f t="shared" si="308"/>
        <v>0</v>
      </c>
      <c r="CR90" s="95"/>
      <c r="CS90" s="95"/>
      <c r="CT90" s="95"/>
      <c r="CU90" s="95"/>
      <c r="CV90" s="95"/>
      <c r="CW90" s="95"/>
      <c r="CX90" s="95"/>
      <c r="CY90" s="95"/>
      <c r="CZ90" s="95"/>
      <c r="DA90" s="95"/>
      <c r="DB90" s="95"/>
      <c r="DC90" s="95"/>
      <c r="DD90" s="95"/>
      <c r="DE90" s="95"/>
      <c r="DF90" s="95"/>
      <c r="DG90" s="95"/>
      <c r="DH90" s="95"/>
      <c r="DI90" s="95"/>
      <c r="DJ90" s="95"/>
      <c r="DK90" s="95"/>
    </row>
    <row r="91" spans="1:115" ht="14.25" customHeight="1" outlineLevel="1" x14ac:dyDescent="0.4">
      <c r="A91" s="94"/>
      <c r="B91" s="95" t="s">
        <v>110</v>
      </c>
      <c r="C91" s="39">
        <f t="shared" si="318"/>
        <v>-46343928</v>
      </c>
      <c r="D91" s="95"/>
      <c r="E91" s="87"/>
      <c r="F91" s="95"/>
      <c r="G91" s="95"/>
      <c r="H91" s="87"/>
      <c r="I91" s="87"/>
      <c r="J91" s="87"/>
      <c r="K91" s="87"/>
      <c r="L91" s="87"/>
      <c r="M91" s="87"/>
      <c r="N91" s="87"/>
      <c r="O91" s="87"/>
      <c r="P91" s="87">
        <f>O90</f>
        <v>-14808850</v>
      </c>
      <c r="Q91" s="89">
        <f t="shared" si="310"/>
        <v>-14808850</v>
      </c>
      <c r="R91" s="87">
        <f>P90</f>
        <v>-8069547.5</v>
      </c>
      <c r="S91" s="87">
        <f t="shared" si="329"/>
        <v>-7404425</v>
      </c>
      <c r="T91" s="87">
        <f t="shared" si="332"/>
        <v>-8673139.75</v>
      </c>
      <c r="U91" s="87">
        <f t="shared" si="330"/>
        <v>-2961770</v>
      </c>
      <c r="V91" s="87">
        <f t="shared" si="333"/>
        <v>-2616575.25</v>
      </c>
      <c r="W91" s="87">
        <f t="shared" si="335"/>
        <v>0</v>
      </c>
      <c r="X91" s="87">
        <f>W90</f>
        <v>-1809620.5</v>
      </c>
      <c r="AD91" s="89">
        <f t="shared" si="331"/>
        <v>-61152778</v>
      </c>
      <c r="AE91" s="87"/>
      <c r="AF91" s="87"/>
      <c r="AG91" s="87"/>
      <c r="AH91" s="87"/>
      <c r="AI91" s="87"/>
      <c r="AJ91" s="87"/>
      <c r="AK91" s="87"/>
      <c r="AL91" s="87"/>
      <c r="AM91" s="87"/>
      <c r="AN91" s="87"/>
      <c r="AO91" s="87"/>
      <c r="AP91" s="87"/>
      <c r="AQ91" s="89">
        <f t="shared" si="322"/>
        <v>0</v>
      </c>
      <c r="AR91" s="87"/>
      <c r="AS91" s="87"/>
      <c r="AT91" s="87"/>
      <c r="AU91" s="87"/>
      <c r="AV91" s="87"/>
      <c r="AW91" s="87"/>
      <c r="AX91" s="87"/>
      <c r="AY91" s="87"/>
      <c r="AZ91" s="87"/>
      <c r="BA91" s="87"/>
      <c r="BB91" s="87"/>
      <c r="BC91" s="87"/>
      <c r="BD91" s="89">
        <f t="shared" si="325"/>
        <v>0</v>
      </c>
      <c r="BE91" s="87"/>
      <c r="BF91" s="87"/>
      <c r="BG91" s="87"/>
      <c r="BH91" s="87"/>
      <c r="BI91" s="87"/>
      <c r="BJ91" s="87"/>
      <c r="BK91" s="87"/>
      <c r="BL91" s="87"/>
      <c r="BM91" s="87"/>
      <c r="BN91" s="87"/>
      <c r="BO91" s="87"/>
      <c r="BP91" s="87"/>
      <c r="BQ91" s="89">
        <f t="shared" si="306"/>
        <v>0</v>
      </c>
      <c r="BR91" s="87"/>
      <c r="BS91" s="87"/>
      <c r="BT91" s="87"/>
      <c r="BU91" s="87"/>
      <c r="BV91" s="87"/>
      <c r="BW91" s="87"/>
      <c r="BX91" s="87"/>
      <c r="BY91" s="87"/>
      <c r="BZ91" s="87"/>
      <c r="CA91" s="87"/>
      <c r="CB91" s="87"/>
      <c r="CC91" s="87"/>
      <c r="CD91" s="89">
        <f t="shared" si="307"/>
        <v>0</v>
      </c>
      <c r="CE91" s="87"/>
      <c r="CF91" s="87"/>
      <c r="CG91" s="87"/>
      <c r="CH91" s="87"/>
      <c r="CI91" s="87"/>
      <c r="CJ91" s="87"/>
      <c r="CK91" s="87"/>
      <c r="CL91" s="87"/>
      <c r="CM91" s="87"/>
      <c r="CN91" s="87"/>
      <c r="CO91" s="87"/>
      <c r="CP91" s="38"/>
      <c r="CQ91" s="86">
        <f t="shared" si="308"/>
        <v>0</v>
      </c>
      <c r="CR91" s="95"/>
      <c r="CS91" s="95"/>
      <c r="CT91" s="95"/>
      <c r="CU91" s="95"/>
      <c r="CV91" s="95"/>
      <c r="CW91" s="95"/>
      <c r="CX91" s="95"/>
      <c r="CY91" s="95"/>
      <c r="CZ91" s="95"/>
      <c r="DA91" s="95"/>
      <c r="DB91" s="95"/>
      <c r="DC91" s="95"/>
      <c r="DD91" s="95"/>
      <c r="DE91" s="95"/>
      <c r="DF91" s="95"/>
      <c r="DG91" s="95"/>
      <c r="DH91" s="95"/>
      <c r="DI91" s="95"/>
      <c r="DJ91" s="95"/>
      <c r="DK91" s="95"/>
    </row>
    <row r="92" spans="1:115" ht="14.25" customHeight="1" outlineLevel="1" x14ac:dyDescent="0.4">
      <c r="A92" s="94"/>
      <c r="B92" s="95" t="s">
        <v>111</v>
      </c>
      <c r="C92" s="39">
        <f t="shared" si="318"/>
        <v>-46343928</v>
      </c>
      <c r="D92" s="95"/>
      <c r="E92" s="87"/>
      <c r="F92" s="95"/>
      <c r="G92" s="95"/>
      <c r="H92" s="87"/>
      <c r="I92" s="87"/>
      <c r="J92" s="87"/>
      <c r="K92" s="87"/>
      <c r="L92" s="87"/>
      <c r="M92" s="87"/>
      <c r="N92" s="87"/>
      <c r="O92" s="87"/>
      <c r="P92" s="87"/>
      <c r="Q92" s="89">
        <f t="shared" si="310"/>
        <v>0</v>
      </c>
      <c r="R92" s="87">
        <f>P91</f>
        <v>-14808850</v>
      </c>
      <c r="S92" s="87">
        <f t="shared" si="329"/>
        <v>-8069547.5</v>
      </c>
      <c r="T92" s="87">
        <f t="shared" si="332"/>
        <v>-7404425</v>
      </c>
      <c r="U92" s="87">
        <f t="shared" si="330"/>
        <v>-8673139.75</v>
      </c>
      <c r="V92" s="87">
        <f t="shared" si="333"/>
        <v>-2961770</v>
      </c>
      <c r="W92" s="87">
        <f t="shared" si="335"/>
        <v>-2616575.25</v>
      </c>
      <c r="Y92" s="87">
        <f>X91</f>
        <v>-1809620.5</v>
      </c>
      <c r="AD92" s="89">
        <f t="shared" si="331"/>
        <v>-46343928</v>
      </c>
      <c r="AE92" s="87">
        <f>W91</f>
        <v>0</v>
      </c>
      <c r="AG92" s="87"/>
      <c r="AH92" s="87"/>
      <c r="AI92" s="87"/>
      <c r="AJ92" s="87"/>
      <c r="AK92" s="87"/>
      <c r="AL92" s="87"/>
      <c r="AM92" s="87"/>
      <c r="AN92" s="87"/>
      <c r="AO92" s="87"/>
      <c r="AP92" s="87"/>
      <c r="AQ92" s="89">
        <f>SUM(AE92:AP92)</f>
        <v>0</v>
      </c>
      <c r="AR92" s="88"/>
      <c r="AS92" s="87"/>
      <c r="AT92" s="87"/>
      <c r="AU92" s="87"/>
      <c r="AV92" s="87"/>
      <c r="AW92" s="87"/>
      <c r="AX92" s="87"/>
      <c r="AY92" s="87"/>
      <c r="AZ92" s="87"/>
      <c r="BA92" s="87"/>
      <c r="BB92" s="87"/>
      <c r="BC92" s="87"/>
      <c r="BD92" s="89">
        <f t="shared" si="325"/>
        <v>0</v>
      </c>
      <c r="BE92" s="87"/>
      <c r="BF92" s="87"/>
      <c r="BG92" s="87"/>
      <c r="BH92" s="87"/>
      <c r="BI92" s="87"/>
      <c r="BJ92" s="87"/>
      <c r="BK92" s="87"/>
      <c r="BL92" s="87"/>
      <c r="BM92" s="87"/>
      <c r="BN92" s="87"/>
      <c r="BO92" s="87"/>
      <c r="BP92" s="87"/>
      <c r="BQ92" s="89">
        <f t="shared" si="306"/>
        <v>0</v>
      </c>
      <c r="BR92" s="87"/>
      <c r="BS92" s="87"/>
      <c r="BT92" s="87"/>
      <c r="BU92" s="87"/>
      <c r="BV92" s="87"/>
      <c r="BW92" s="87"/>
      <c r="BX92" s="87"/>
      <c r="BY92" s="87"/>
      <c r="BZ92" s="87"/>
      <c r="CA92" s="87"/>
      <c r="CB92" s="87"/>
      <c r="CC92" s="87"/>
      <c r="CD92" s="89">
        <f t="shared" si="307"/>
        <v>0</v>
      </c>
      <c r="CE92" s="87"/>
      <c r="CF92" s="87"/>
      <c r="CG92" s="87"/>
      <c r="CH92" s="87"/>
      <c r="CI92" s="87"/>
      <c r="CJ92" s="87"/>
      <c r="CK92" s="87"/>
      <c r="CL92" s="87"/>
      <c r="CM92" s="87"/>
      <c r="CN92" s="87"/>
      <c r="CO92" s="87"/>
      <c r="CP92" s="38"/>
      <c r="CQ92" s="86">
        <f t="shared" si="308"/>
        <v>0</v>
      </c>
      <c r="CR92" s="95"/>
      <c r="CS92" s="95"/>
      <c r="CT92" s="95"/>
      <c r="CU92" s="95"/>
      <c r="CV92" s="95"/>
      <c r="CW92" s="95"/>
      <c r="CX92" s="95"/>
      <c r="CY92" s="95"/>
      <c r="CZ92" s="95"/>
      <c r="DA92" s="95"/>
      <c r="DB92" s="95"/>
      <c r="DC92" s="95"/>
      <c r="DD92" s="95"/>
      <c r="DE92" s="95"/>
      <c r="DF92" s="95"/>
      <c r="DG92" s="95"/>
      <c r="DH92" s="95"/>
      <c r="DI92" s="95"/>
      <c r="DJ92" s="95"/>
      <c r="DK92" s="95"/>
    </row>
    <row r="93" spans="1:115" ht="13.5" customHeight="1" outlineLevel="1" x14ac:dyDescent="0.4">
      <c r="A93" s="94"/>
      <c r="B93" s="95" t="s">
        <v>112</v>
      </c>
      <c r="C93" s="39">
        <f t="shared" si="318"/>
        <v>-46343928</v>
      </c>
      <c r="D93" s="95"/>
      <c r="E93" s="87"/>
      <c r="F93" s="95"/>
      <c r="G93" s="95"/>
      <c r="H93" s="87"/>
      <c r="I93" s="87"/>
      <c r="J93" s="87"/>
      <c r="K93" s="87"/>
      <c r="L93" s="87"/>
      <c r="M93" s="87"/>
      <c r="N93" s="87"/>
      <c r="O93" s="87"/>
      <c r="P93" s="87"/>
      <c r="Q93" s="89">
        <f t="shared" si="310"/>
        <v>0</v>
      </c>
      <c r="S93" s="87">
        <f t="shared" si="329"/>
        <v>-14808850</v>
      </c>
      <c r="T93" s="87">
        <f t="shared" si="332"/>
        <v>-8069547.5</v>
      </c>
      <c r="U93" s="87">
        <f t="shared" si="330"/>
        <v>-7404425</v>
      </c>
      <c r="V93" s="87">
        <f t="shared" si="333"/>
        <v>-8673139.75</v>
      </c>
      <c r="W93" s="87">
        <f t="shared" si="335"/>
        <v>-2961770</v>
      </c>
      <c r="X93" s="87">
        <f t="shared" ref="X93:X98" si="336">W92</f>
        <v>-2616575.25</v>
      </c>
      <c r="Y93" s="87">
        <f>AE92</f>
        <v>0</v>
      </c>
      <c r="Z93" s="87">
        <f>Y92</f>
        <v>-1809620.5</v>
      </c>
      <c r="AD93" s="89">
        <f t="shared" si="331"/>
        <v>-46343928</v>
      </c>
      <c r="AI93" s="87"/>
      <c r="AJ93" s="87"/>
      <c r="AK93" s="87"/>
      <c r="AL93" s="87"/>
      <c r="AM93" s="87"/>
      <c r="AN93" s="87"/>
      <c r="AO93" s="87"/>
      <c r="AP93" s="87"/>
      <c r="AQ93" s="89">
        <f t="shared" ref="AQ93:AQ104" si="337">SUM(AE93:AP93)</f>
        <v>0</v>
      </c>
      <c r="AR93" s="87"/>
      <c r="AS93" s="87"/>
      <c r="AT93" s="88"/>
      <c r="AU93" s="87"/>
      <c r="AV93" s="87"/>
      <c r="AW93" s="87"/>
      <c r="AX93" s="87"/>
      <c r="AY93" s="87"/>
      <c r="AZ93" s="87"/>
      <c r="BA93" s="87"/>
      <c r="BB93" s="87"/>
      <c r="BC93" s="87"/>
      <c r="BD93" s="89">
        <f t="shared" si="325"/>
        <v>0</v>
      </c>
      <c r="BE93" s="87"/>
      <c r="BF93" s="87"/>
      <c r="BG93" s="87"/>
      <c r="BH93" s="87"/>
      <c r="BI93" s="87"/>
      <c r="BJ93" s="87"/>
      <c r="BK93" s="87"/>
      <c r="BL93" s="87"/>
      <c r="BM93" s="87"/>
      <c r="BN93" s="87"/>
      <c r="BO93" s="87"/>
      <c r="BP93" s="87"/>
      <c r="BQ93" s="89">
        <f t="shared" si="306"/>
        <v>0</v>
      </c>
      <c r="BR93" s="87"/>
      <c r="BS93" s="87"/>
      <c r="BT93" s="87"/>
      <c r="BU93" s="87"/>
      <c r="BV93" s="87"/>
      <c r="BW93" s="87"/>
      <c r="BX93" s="87"/>
      <c r="BY93" s="87"/>
      <c r="BZ93" s="87"/>
      <c r="CA93" s="87"/>
      <c r="CB93" s="87"/>
      <c r="CC93" s="87"/>
      <c r="CD93" s="89">
        <f t="shared" si="307"/>
        <v>0</v>
      </c>
      <c r="CE93" s="87"/>
      <c r="CF93" s="87"/>
      <c r="CG93" s="87"/>
      <c r="CH93" s="87"/>
      <c r="CI93" s="87"/>
      <c r="CJ93" s="87"/>
      <c r="CK93" s="87"/>
      <c r="CL93" s="87"/>
      <c r="CM93" s="87"/>
      <c r="CN93" s="87"/>
      <c r="CO93" s="87"/>
      <c r="CP93" s="38"/>
      <c r="CQ93" s="86">
        <f t="shared" si="308"/>
        <v>0</v>
      </c>
      <c r="CR93" s="95"/>
      <c r="CS93" s="95"/>
      <c r="CT93" s="95"/>
      <c r="CU93" s="95"/>
      <c r="CV93" s="95"/>
      <c r="CW93" s="95"/>
      <c r="CX93" s="95"/>
      <c r="CY93" s="95"/>
      <c r="CZ93" s="95"/>
      <c r="DA93" s="95"/>
      <c r="DB93" s="95"/>
      <c r="DC93" s="95"/>
      <c r="DD93" s="95"/>
      <c r="DE93" s="95"/>
      <c r="DF93" s="95"/>
      <c r="DG93" s="95"/>
      <c r="DH93" s="95"/>
      <c r="DI93" s="95"/>
      <c r="DJ93" s="95"/>
      <c r="DK93" s="95"/>
    </row>
    <row r="94" spans="1:115" ht="14.25" customHeight="1" outlineLevel="1" x14ac:dyDescent="0.4">
      <c r="A94" s="94"/>
      <c r="B94" s="95" t="s">
        <v>113</v>
      </c>
      <c r="C94" s="39">
        <f t="shared" si="318"/>
        <v>-46343928</v>
      </c>
      <c r="D94" s="95"/>
      <c r="E94" s="87"/>
      <c r="F94" s="95"/>
      <c r="G94" s="95"/>
      <c r="H94" s="87"/>
      <c r="I94" s="87"/>
      <c r="J94" s="87"/>
      <c r="K94" s="87"/>
      <c r="L94" s="87"/>
      <c r="M94" s="87"/>
      <c r="N94" s="87"/>
      <c r="O94" s="87"/>
      <c r="P94" s="87"/>
      <c r="Q94" s="89">
        <f t="shared" si="310"/>
        <v>0</v>
      </c>
      <c r="R94" s="87"/>
      <c r="S94" s="95"/>
      <c r="T94" s="87">
        <f t="shared" si="332"/>
        <v>-14808850</v>
      </c>
      <c r="U94" s="87">
        <f t="shared" si="330"/>
        <v>-8069547.5</v>
      </c>
      <c r="V94" s="87">
        <f t="shared" si="333"/>
        <v>-7404425</v>
      </c>
      <c r="W94" s="87">
        <f t="shared" si="335"/>
        <v>-8673139.75</v>
      </c>
      <c r="X94" s="87">
        <f t="shared" si="336"/>
        <v>-2961770</v>
      </c>
      <c r="Y94" s="87">
        <f t="shared" ref="Y94:Y99" si="338">X93</f>
        <v>-2616575.25</v>
      </c>
      <c r="AA94" s="87">
        <f>Z93</f>
        <v>-1809620.5</v>
      </c>
      <c r="AD94" s="89">
        <f t="shared" si="331"/>
        <v>-46343928</v>
      </c>
      <c r="AI94" s="87">
        <f>Y93</f>
        <v>0</v>
      </c>
      <c r="AK94" s="87"/>
      <c r="AL94" s="87"/>
      <c r="AM94" s="87"/>
      <c r="AN94" s="87"/>
      <c r="AO94" s="87"/>
      <c r="AP94" s="87"/>
      <c r="AQ94" s="89">
        <f t="shared" si="337"/>
        <v>0</v>
      </c>
      <c r="AR94" s="87"/>
      <c r="AS94" s="87"/>
      <c r="AT94" s="88"/>
      <c r="AU94" s="87"/>
      <c r="AV94" s="87"/>
      <c r="AW94" s="87"/>
      <c r="AX94" s="87"/>
      <c r="AY94" s="87"/>
      <c r="AZ94" s="87"/>
      <c r="BA94" s="87"/>
      <c r="BB94" s="87"/>
      <c r="BC94" s="87"/>
      <c r="BD94" s="89">
        <f t="shared" si="325"/>
        <v>0</v>
      </c>
      <c r="BE94" s="87"/>
      <c r="BF94" s="87"/>
      <c r="BG94" s="87"/>
      <c r="BH94" s="87"/>
      <c r="BI94" s="87"/>
      <c r="BJ94" s="87"/>
      <c r="BK94" s="87"/>
      <c r="BL94" s="87"/>
      <c r="BM94" s="87"/>
      <c r="BN94" s="87"/>
      <c r="BO94" s="87"/>
      <c r="BP94" s="87"/>
      <c r="BQ94" s="89">
        <f t="shared" si="306"/>
        <v>0</v>
      </c>
      <c r="BR94" s="87"/>
      <c r="BS94" s="87"/>
      <c r="BT94" s="87"/>
      <c r="BU94" s="87"/>
      <c r="BV94" s="87"/>
      <c r="BW94" s="87"/>
      <c r="BX94" s="87"/>
      <c r="BY94" s="87"/>
      <c r="BZ94" s="87"/>
      <c r="CA94" s="87"/>
      <c r="CB94" s="87"/>
      <c r="CC94" s="87"/>
      <c r="CD94" s="89">
        <f t="shared" si="307"/>
        <v>0</v>
      </c>
      <c r="CE94" s="87"/>
      <c r="CF94" s="87"/>
      <c r="CG94" s="87"/>
      <c r="CH94" s="87"/>
      <c r="CI94" s="87"/>
      <c r="CJ94" s="87"/>
      <c r="CK94" s="87"/>
      <c r="CL94" s="87"/>
      <c r="CM94" s="87"/>
      <c r="CN94" s="87"/>
      <c r="CO94" s="87"/>
      <c r="CP94" s="38"/>
      <c r="CQ94" s="86">
        <f t="shared" si="308"/>
        <v>0</v>
      </c>
      <c r="CR94" s="95"/>
      <c r="CS94" s="95"/>
      <c r="CT94" s="95"/>
      <c r="CU94" s="95"/>
      <c r="CV94" s="95"/>
      <c r="CW94" s="95"/>
      <c r="CX94" s="95"/>
      <c r="CY94" s="95"/>
      <c r="CZ94" s="95"/>
      <c r="DA94" s="95"/>
      <c r="DB94" s="95"/>
      <c r="DC94" s="95"/>
      <c r="DD94" s="95"/>
      <c r="DE94" s="95"/>
      <c r="DF94" s="95"/>
      <c r="DG94" s="95"/>
      <c r="DH94" s="95"/>
      <c r="DI94" s="95"/>
      <c r="DJ94" s="95"/>
      <c r="DK94" s="95"/>
    </row>
    <row r="95" spans="1:115" ht="14.25" customHeight="1" outlineLevel="1" x14ac:dyDescent="0.4">
      <c r="A95" s="94"/>
      <c r="B95" s="95" t="s">
        <v>114</v>
      </c>
      <c r="C95" s="39">
        <f t="shared" si="318"/>
        <v>-46343928</v>
      </c>
      <c r="D95" s="95"/>
      <c r="E95" s="87"/>
      <c r="F95" s="95"/>
      <c r="G95" s="95"/>
      <c r="H95" s="87"/>
      <c r="I95" s="87"/>
      <c r="J95" s="87"/>
      <c r="K95" s="87"/>
      <c r="L95" s="87"/>
      <c r="M95" s="87"/>
      <c r="N95" s="87"/>
      <c r="O95" s="87"/>
      <c r="P95" s="87"/>
      <c r="Q95" s="89">
        <f t="shared" si="310"/>
        <v>0</v>
      </c>
      <c r="R95" s="87"/>
      <c r="S95" s="87"/>
      <c r="T95" s="95"/>
      <c r="U95" s="87">
        <f t="shared" si="330"/>
        <v>-14808850</v>
      </c>
      <c r="V95" s="87">
        <f t="shared" si="333"/>
        <v>-8069547.5</v>
      </c>
      <c r="W95" s="87">
        <f t="shared" si="335"/>
        <v>-7404425</v>
      </c>
      <c r="X95" s="87">
        <f t="shared" si="336"/>
        <v>-8673139.75</v>
      </c>
      <c r="Y95" s="87">
        <f t="shared" si="338"/>
        <v>-2961770</v>
      </c>
      <c r="Z95" s="87">
        <f t="shared" ref="Z95:Z100" si="339">Y94</f>
        <v>-2616575.25</v>
      </c>
      <c r="AA95" s="87">
        <f>AI94</f>
        <v>0</v>
      </c>
      <c r="AB95" s="87">
        <f t="shared" ref="AB95:AB101" si="340">AA94</f>
        <v>-1809620.5</v>
      </c>
      <c r="AD95" s="89">
        <f t="shared" si="331"/>
        <v>-46343928</v>
      </c>
      <c r="AM95" s="87"/>
      <c r="AN95" s="95"/>
      <c r="AO95" s="87"/>
      <c r="AP95" s="87"/>
      <c r="AQ95" s="89">
        <f t="shared" si="337"/>
        <v>0</v>
      </c>
      <c r="AR95" s="87"/>
      <c r="AS95" s="87"/>
      <c r="AT95" s="88"/>
      <c r="AU95" s="88">
        <f t="shared" ref="AU95:AU97" si="341">AS94</f>
        <v>0</v>
      </c>
      <c r="AV95" s="87"/>
      <c r="AW95" s="87"/>
      <c r="AX95" s="87"/>
      <c r="AY95" s="87"/>
      <c r="AZ95" s="87"/>
      <c r="BA95" s="87"/>
      <c r="BB95" s="87"/>
      <c r="BC95" s="87"/>
      <c r="BD95" s="89">
        <f t="shared" si="325"/>
        <v>0</v>
      </c>
      <c r="BE95" s="87"/>
      <c r="BF95" s="87"/>
      <c r="BG95" s="87"/>
      <c r="BH95" s="87"/>
      <c r="BI95" s="87"/>
      <c r="BJ95" s="87"/>
      <c r="BK95" s="87"/>
      <c r="BL95" s="87"/>
      <c r="BM95" s="87"/>
      <c r="BN95" s="87"/>
      <c r="BO95" s="87"/>
      <c r="BP95" s="87"/>
      <c r="BQ95" s="89">
        <f t="shared" si="306"/>
        <v>0</v>
      </c>
      <c r="BR95" s="87"/>
      <c r="BS95" s="87"/>
      <c r="BT95" s="87"/>
      <c r="BU95" s="87"/>
      <c r="BV95" s="87"/>
      <c r="BW95" s="87"/>
      <c r="BX95" s="87"/>
      <c r="BY95" s="87"/>
      <c r="BZ95" s="87"/>
      <c r="CA95" s="87"/>
      <c r="CB95" s="87"/>
      <c r="CC95" s="87"/>
      <c r="CD95" s="89">
        <f t="shared" si="307"/>
        <v>0</v>
      </c>
      <c r="CE95" s="87"/>
      <c r="CF95" s="87"/>
      <c r="CG95" s="87"/>
      <c r="CH95" s="87"/>
      <c r="CI95" s="87"/>
      <c r="CJ95" s="87"/>
      <c r="CK95" s="87"/>
      <c r="CL95" s="87"/>
      <c r="CM95" s="87"/>
      <c r="CN95" s="87"/>
      <c r="CO95" s="87"/>
      <c r="CP95" s="38"/>
      <c r="CQ95" s="86">
        <f t="shared" si="308"/>
        <v>0</v>
      </c>
      <c r="CR95" s="95"/>
      <c r="CS95" s="95"/>
      <c r="CT95" s="95"/>
      <c r="CU95" s="95"/>
      <c r="CV95" s="95"/>
      <c r="CW95" s="95"/>
      <c r="CX95" s="95"/>
      <c r="CY95" s="95"/>
      <c r="CZ95" s="95"/>
      <c r="DA95" s="95"/>
      <c r="DB95" s="95"/>
      <c r="DC95" s="95"/>
      <c r="DD95" s="95"/>
      <c r="DE95" s="95"/>
      <c r="DF95" s="95"/>
      <c r="DG95" s="95"/>
      <c r="DH95" s="95"/>
      <c r="DI95" s="95"/>
      <c r="DJ95" s="95"/>
      <c r="DK95" s="95"/>
    </row>
    <row r="96" spans="1:115" ht="14.25" customHeight="1" outlineLevel="1" x14ac:dyDescent="0.4">
      <c r="A96" s="94"/>
      <c r="B96" s="95" t="s">
        <v>115</v>
      </c>
      <c r="C96" s="39">
        <f t="shared" si="318"/>
        <v>-46343928</v>
      </c>
      <c r="D96" s="95"/>
      <c r="E96" s="87"/>
      <c r="F96" s="95"/>
      <c r="G96" s="95"/>
      <c r="H96" s="87"/>
      <c r="I96" s="87"/>
      <c r="J96" s="87"/>
      <c r="K96" s="87"/>
      <c r="L96" s="87"/>
      <c r="M96" s="87"/>
      <c r="N96" s="87"/>
      <c r="O96" s="87"/>
      <c r="P96" s="87"/>
      <c r="Q96" s="89">
        <f t="shared" si="310"/>
        <v>0</v>
      </c>
      <c r="R96" s="87"/>
      <c r="S96" s="87"/>
      <c r="T96" s="95"/>
      <c r="U96" s="95"/>
      <c r="V96" s="87">
        <f t="shared" si="333"/>
        <v>-14808850</v>
      </c>
      <c r="W96" s="87">
        <f t="shared" si="335"/>
        <v>-8069547.5</v>
      </c>
      <c r="X96" s="87">
        <f t="shared" si="336"/>
        <v>-7404425</v>
      </c>
      <c r="Y96" s="87">
        <f t="shared" si="338"/>
        <v>-8673139.75</v>
      </c>
      <c r="Z96" s="87">
        <f t="shared" si="339"/>
        <v>-2961770</v>
      </c>
      <c r="AA96" s="87">
        <f t="shared" ref="AA96:AA101" si="342">Z95</f>
        <v>-2616575.25</v>
      </c>
      <c r="AB96" s="87">
        <f t="shared" si="340"/>
        <v>0</v>
      </c>
      <c r="AC96" s="87">
        <f t="shared" ref="AC96:AC101" si="343">AB95</f>
        <v>-1809620.5</v>
      </c>
      <c r="AD96" s="89">
        <f t="shared" si="331"/>
        <v>-46343928</v>
      </c>
      <c r="AO96" s="87"/>
      <c r="AP96" s="95"/>
      <c r="AQ96" s="89">
        <f t="shared" si="337"/>
        <v>0</v>
      </c>
      <c r="AR96" s="87"/>
      <c r="AS96" s="87"/>
      <c r="AT96" s="88"/>
      <c r="AU96" s="88">
        <f t="shared" si="341"/>
        <v>0</v>
      </c>
      <c r="AV96" s="87"/>
      <c r="AW96" s="87"/>
      <c r="AX96" s="87"/>
      <c r="AY96" s="87"/>
      <c r="AZ96" s="87"/>
      <c r="BA96" s="87"/>
      <c r="BB96" s="87"/>
      <c r="BC96" s="87"/>
      <c r="BD96" s="89">
        <f t="shared" si="325"/>
        <v>0</v>
      </c>
      <c r="BE96" s="87"/>
      <c r="BF96" s="87"/>
      <c r="BG96" s="87"/>
      <c r="BH96" s="87"/>
      <c r="BI96" s="87"/>
      <c r="BJ96" s="87"/>
      <c r="BK96" s="87"/>
      <c r="BL96" s="87"/>
      <c r="BM96" s="87"/>
      <c r="BN96" s="87"/>
      <c r="BO96" s="87"/>
      <c r="BP96" s="87"/>
      <c r="BQ96" s="89">
        <f t="shared" si="306"/>
        <v>0</v>
      </c>
      <c r="BR96" s="87"/>
      <c r="BS96" s="87"/>
      <c r="BT96" s="87"/>
      <c r="BU96" s="87"/>
      <c r="BV96" s="87"/>
      <c r="BW96" s="87"/>
      <c r="BX96" s="87"/>
      <c r="BY96" s="87"/>
      <c r="BZ96" s="87"/>
      <c r="CA96" s="87"/>
      <c r="CB96" s="87"/>
      <c r="CC96" s="87"/>
      <c r="CD96" s="89">
        <f t="shared" si="307"/>
        <v>0</v>
      </c>
      <c r="CE96" s="87"/>
      <c r="CF96" s="87"/>
      <c r="CG96" s="87"/>
      <c r="CH96" s="87"/>
      <c r="CI96" s="87"/>
      <c r="CJ96" s="87"/>
      <c r="CK96" s="87"/>
      <c r="CL96" s="87"/>
      <c r="CM96" s="87"/>
      <c r="CN96" s="87"/>
      <c r="CO96" s="87"/>
      <c r="CP96" s="38"/>
      <c r="CQ96" s="86">
        <f t="shared" si="308"/>
        <v>0</v>
      </c>
      <c r="CR96" s="95"/>
      <c r="CS96" s="95"/>
      <c r="CT96" s="95"/>
      <c r="CU96" s="95"/>
      <c r="CV96" s="95"/>
      <c r="CW96" s="95"/>
      <c r="CX96" s="95"/>
      <c r="CY96" s="95"/>
      <c r="CZ96" s="95"/>
      <c r="DA96" s="95"/>
      <c r="DB96" s="95"/>
      <c r="DC96" s="95"/>
      <c r="DD96" s="95"/>
      <c r="DE96" s="95"/>
      <c r="DF96" s="95"/>
      <c r="DG96" s="95"/>
      <c r="DH96" s="95"/>
      <c r="DI96" s="95"/>
      <c r="DJ96" s="95"/>
      <c r="DK96" s="95"/>
    </row>
    <row r="97" spans="1:115" ht="14.25" customHeight="1" outlineLevel="1" x14ac:dyDescent="0.4">
      <c r="A97" s="94"/>
      <c r="B97" s="95" t="s">
        <v>116</v>
      </c>
      <c r="C97" s="39">
        <f t="shared" si="318"/>
        <v>-46343928</v>
      </c>
      <c r="D97" s="95"/>
      <c r="E97" s="87"/>
      <c r="F97" s="95"/>
      <c r="G97" s="95"/>
      <c r="H97" s="87"/>
      <c r="I97" s="87"/>
      <c r="J97" s="87"/>
      <c r="K97" s="87"/>
      <c r="L97" s="87"/>
      <c r="M97" s="87"/>
      <c r="N97" s="87"/>
      <c r="O97" s="87"/>
      <c r="P97" s="87"/>
      <c r="Q97" s="89">
        <f t="shared" si="310"/>
        <v>0</v>
      </c>
      <c r="R97" s="87"/>
      <c r="S97" s="87"/>
      <c r="T97" s="95"/>
      <c r="U97" s="95"/>
      <c r="V97" s="87"/>
      <c r="W97" s="87">
        <f t="shared" si="335"/>
        <v>-14808850</v>
      </c>
      <c r="X97" s="87">
        <f t="shared" si="336"/>
        <v>-8069547.5</v>
      </c>
      <c r="Y97" s="87">
        <f t="shared" si="338"/>
        <v>-7404425</v>
      </c>
      <c r="Z97" s="87">
        <f t="shared" si="339"/>
        <v>-8673139.75</v>
      </c>
      <c r="AA97" s="87">
        <f t="shared" si="342"/>
        <v>-2961770</v>
      </c>
      <c r="AB97" s="87">
        <f t="shared" si="340"/>
        <v>-2616575.25</v>
      </c>
      <c r="AC97" s="87">
        <f t="shared" si="343"/>
        <v>0</v>
      </c>
      <c r="AD97" s="89">
        <f t="shared" si="331"/>
        <v>-44534307.5</v>
      </c>
      <c r="AE97" s="87">
        <f>AC96</f>
        <v>-1809620.5</v>
      </c>
      <c r="AQ97" s="89">
        <f t="shared" si="337"/>
        <v>-1809620.5</v>
      </c>
      <c r="AR97" s="87"/>
      <c r="AS97" s="87"/>
      <c r="AT97" s="87"/>
      <c r="AU97" s="88">
        <f t="shared" si="341"/>
        <v>0</v>
      </c>
      <c r="AV97" s="87"/>
      <c r="AW97" s="95"/>
      <c r="AX97" s="87"/>
      <c r="AY97" s="87"/>
      <c r="AZ97" s="87"/>
      <c r="BA97" s="87"/>
      <c r="BB97" s="87"/>
      <c r="BC97" s="87"/>
      <c r="BD97" s="89">
        <f t="shared" si="325"/>
        <v>0</v>
      </c>
      <c r="BE97" s="87"/>
      <c r="BF97" s="87"/>
      <c r="BG97" s="87"/>
      <c r="BH97" s="87"/>
      <c r="BI97" s="87"/>
      <c r="BJ97" s="87"/>
      <c r="BK97" s="87"/>
      <c r="BL97" s="87"/>
      <c r="BM97" s="87"/>
      <c r="BN97" s="87"/>
      <c r="BO97" s="87"/>
      <c r="BP97" s="87"/>
      <c r="BQ97" s="89">
        <f t="shared" si="306"/>
        <v>0</v>
      </c>
      <c r="BR97" s="87"/>
      <c r="BS97" s="87"/>
      <c r="BT97" s="87"/>
      <c r="BU97" s="87"/>
      <c r="BV97" s="87"/>
      <c r="BW97" s="87"/>
      <c r="BX97" s="87"/>
      <c r="BY97" s="87"/>
      <c r="BZ97" s="87"/>
      <c r="CA97" s="87"/>
      <c r="CB97" s="87"/>
      <c r="CC97" s="87"/>
      <c r="CD97" s="89">
        <f t="shared" si="307"/>
        <v>0</v>
      </c>
      <c r="CE97" s="87"/>
      <c r="CF97" s="87"/>
      <c r="CG97" s="87"/>
      <c r="CH97" s="87"/>
      <c r="CI97" s="87"/>
      <c r="CJ97" s="87"/>
      <c r="CK97" s="87"/>
      <c r="CL97" s="87"/>
      <c r="CM97" s="87"/>
      <c r="CN97" s="87"/>
      <c r="CO97" s="87"/>
      <c r="CP97" s="38"/>
      <c r="CQ97" s="86">
        <f t="shared" si="308"/>
        <v>0</v>
      </c>
      <c r="CR97" s="95"/>
      <c r="CS97" s="95"/>
      <c r="CT97" s="95"/>
      <c r="CU97" s="95"/>
      <c r="CV97" s="95"/>
      <c r="CW97" s="95"/>
      <c r="CX97" s="95"/>
      <c r="CY97" s="95"/>
      <c r="CZ97" s="95"/>
      <c r="DA97" s="95"/>
      <c r="DB97" s="95"/>
      <c r="DC97" s="95"/>
      <c r="DD97" s="95"/>
      <c r="DE97" s="95"/>
      <c r="DF97" s="95"/>
      <c r="DG97" s="95"/>
      <c r="DH97" s="95"/>
      <c r="DI97" s="95"/>
      <c r="DJ97" s="95"/>
      <c r="DK97" s="95"/>
    </row>
    <row r="98" spans="1:115" ht="14.25" customHeight="1" outlineLevel="1" x14ac:dyDescent="0.4">
      <c r="A98" s="94"/>
      <c r="B98" s="95" t="s">
        <v>117</v>
      </c>
      <c r="C98" s="39">
        <f t="shared" si="318"/>
        <v>-46343928</v>
      </c>
      <c r="D98" s="95"/>
      <c r="E98" s="87"/>
      <c r="F98" s="95"/>
      <c r="G98" s="95"/>
      <c r="H98" s="87"/>
      <c r="I98" s="87"/>
      <c r="J98" s="87"/>
      <c r="K98" s="87"/>
      <c r="L98" s="87"/>
      <c r="M98" s="87"/>
      <c r="N98" s="87"/>
      <c r="O98" s="87"/>
      <c r="P98" s="87"/>
      <c r="Q98" s="89">
        <f t="shared" si="310"/>
        <v>0</v>
      </c>
      <c r="R98" s="87"/>
      <c r="S98" s="87"/>
      <c r="T98" s="95"/>
      <c r="U98" s="95"/>
      <c r="V98" s="87"/>
      <c r="W98" s="87"/>
      <c r="X98" s="87">
        <f t="shared" si="336"/>
        <v>-14808850</v>
      </c>
      <c r="Y98" s="87">
        <f t="shared" si="338"/>
        <v>-8069547.5</v>
      </c>
      <c r="Z98" s="87">
        <f t="shared" si="339"/>
        <v>-7404425</v>
      </c>
      <c r="AA98" s="87">
        <f t="shared" si="342"/>
        <v>-8673139.75</v>
      </c>
      <c r="AB98" s="87">
        <f t="shared" si="340"/>
        <v>-2961770</v>
      </c>
      <c r="AC98" s="87">
        <f t="shared" si="343"/>
        <v>-2616575.25</v>
      </c>
      <c r="AD98" s="89">
        <f t="shared" si="331"/>
        <v>-44534307.5</v>
      </c>
      <c r="AE98" s="87">
        <f>AC97</f>
        <v>0</v>
      </c>
      <c r="AF98" s="87">
        <f t="shared" ref="AF98:AF104" si="344">AE97</f>
        <v>-1809620.5</v>
      </c>
      <c r="AG98" s="87"/>
      <c r="AH98" s="88"/>
      <c r="AI98" s="87"/>
      <c r="AJ98" s="95"/>
      <c r="AK98" s="87"/>
      <c r="AL98" s="87"/>
      <c r="AQ98" s="89">
        <f t="shared" si="337"/>
        <v>-1809620.5</v>
      </c>
      <c r="AZ98" s="87"/>
      <c r="BA98" s="87"/>
      <c r="BB98" s="87"/>
      <c r="BC98" s="87"/>
      <c r="BD98" s="89">
        <f t="shared" si="325"/>
        <v>0</v>
      </c>
      <c r="BE98" s="87"/>
      <c r="BF98" s="87"/>
      <c r="BG98" s="87"/>
      <c r="BH98" s="87"/>
      <c r="BI98" s="87"/>
      <c r="BJ98" s="87"/>
      <c r="BK98" s="87"/>
      <c r="BL98" s="87"/>
      <c r="BM98" s="87"/>
      <c r="BN98" s="87"/>
      <c r="BO98" s="87"/>
      <c r="BP98" s="87"/>
      <c r="BQ98" s="89">
        <f t="shared" si="306"/>
        <v>0</v>
      </c>
      <c r="BR98" s="87"/>
      <c r="BS98" s="87"/>
      <c r="BT98" s="87"/>
      <c r="BU98" s="87"/>
      <c r="BV98" s="87"/>
      <c r="BW98" s="87"/>
      <c r="BX98" s="87"/>
      <c r="BY98" s="87"/>
      <c r="BZ98" s="87"/>
      <c r="CA98" s="87"/>
      <c r="CB98" s="87"/>
      <c r="CC98" s="87"/>
      <c r="CD98" s="89">
        <f t="shared" si="307"/>
        <v>0</v>
      </c>
      <c r="CE98" s="87"/>
      <c r="CF98" s="87"/>
      <c r="CG98" s="87"/>
      <c r="CH98" s="87"/>
      <c r="CI98" s="87"/>
      <c r="CJ98" s="87"/>
      <c r="CK98" s="87"/>
      <c r="CL98" s="87"/>
      <c r="CM98" s="87"/>
      <c r="CN98" s="87"/>
      <c r="CO98" s="87"/>
      <c r="CP98" s="38"/>
      <c r="CQ98" s="86">
        <f t="shared" si="308"/>
        <v>0</v>
      </c>
      <c r="CR98" s="95"/>
      <c r="CS98" s="95"/>
      <c r="CT98" s="95"/>
      <c r="CU98" s="95"/>
      <c r="CV98" s="95"/>
      <c r="CW98" s="95"/>
      <c r="CX98" s="95"/>
      <c r="CY98" s="95"/>
      <c r="CZ98" s="95"/>
      <c r="DA98" s="95"/>
      <c r="DB98" s="95"/>
      <c r="DC98" s="95"/>
      <c r="DD98" s="95"/>
      <c r="DE98" s="95"/>
      <c r="DF98" s="95"/>
      <c r="DG98" s="95"/>
      <c r="DH98" s="95"/>
      <c r="DI98" s="95"/>
      <c r="DJ98" s="95"/>
      <c r="DK98" s="95"/>
    </row>
    <row r="99" spans="1:115" ht="14.25" customHeight="1" outlineLevel="1" x14ac:dyDescent="0.4">
      <c r="A99" s="94"/>
      <c r="B99" s="95" t="s">
        <v>118</v>
      </c>
      <c r="C99" s="39">
        <f t="shared" si="318"/>
        <v>-46343928</v>
      </c>
      <c r="D99" s="107"/>
      <c r="E99" s="87"/>
      <c r="F99" s="95"/>
      <c r="G99" s="95"/>
      <c r="H99" s="87"/>
      <c r="I99" s="87"/>
      <c r="J99" s="87"/>
      <c r="K99" s="87"/>
      <c r="L99" s="87"/>
      <c r="M99" s="87"/>
      <c r="N99" s="87"/>
      <c r="O99" s="87"/>
      <c r="P99" s="87"/>
      <c r="Q99" s="89">
        <f t="shared" si="310"/>
        <v>0</v>
      </c>
      <c r="R99" s="87"/>
      <c r="S99" s="87"/>
      <c r="T99" s="95"/>
      <c r="U99" s="95"/>
      <c r="V99" s="87"/>
      <c r="W99" s="87"/>
      <c r="X99" s="95"/>
      <c r="Y99" s="87">
        <f t="shared" si="338"/>
        <v>-14808850</v>
      </c>
      <c r="Z99" s="87">
        <f t="shared" si="339"/>
        <v>-8069547.5</v>
      </c>
      <c r="AA99" s="87">
        <f t="shared" si="342"/>
        <v>-7404425</v>
      </c>
      <c r="AB99" s="87">
        <f t="shared" si="340"/>
        <v>-8673139.75</v>
      </c>
      <c r="AC99" s="87">
        <f t="shared" si="343"/>
        <v>-2961770</v>
      </c>
      <c r="AD99" s="89">
        <f t="shared" si="331"/>
        <v>-41917732.25</v>
      </c>
      <c r="AE99" s="87">
        <f>AC98</f>
        <v>-2616575.25</v>
      </c>
      <c r="AF99" s="87">
        <f t="shared" si="344"/>
        <v>0</v>
      </c>
      <c r="AG99" s="87">
        <f>AF98</f>
        <v>-1809620.5</v>
      </c>
      <c r="AI99" s="87"/>
      <c r="AJ99" s="95"/>
      <c r="AK99" s="87"/>
      <c r="AL99" s="87"/>
      <c r="AQ99" s="89">
        <f t="shared" si="337"/>
        <v>-4426195.75</v>
      </c>
      <c r="AZ99" s="87"/>
      <c r="BA99" s="87"/>
      <c r="BB99" s="87"/>
      <c r="BC99" s="87"/>
      <c r="BD99" s="89">
        <f t="shared" si="325"/>
        <v>0</v>
      </c>
      <c r="BE99" s="87"/>
      <c r="BF99" s="87"/>
      <c r="BG99" s="87"/>
      <c r="BH99" s="87"/>
      <c r="BI99" s="87"/>
      <c r="BJ99" s="87"/>
      <c r="BK99" s="87"/>
      <c r="BL99" s="87"/>
      <c r="BM99" s="87"/>
      <c r="BN99" s="87"/>
      <c r="BO99" s="87"/>
      <c r="BP99" s="87"/>
      <c r="BQ99" s="89">
        <f t="shared" si="306"/>
        <v>0</v>
      </c>
      <c r="BR99" s="87"/>
      <c r="BS99" s="87"/>
      <c r="BT99" s="87"/>
      <c r="BU99" s="87"/>
      <c r="BV99" s="87"/>
      <c r="BW99" s="87"/>
      <c r="BX99" s="87"/>
      <c r="BY99" s="87"/>
      <c r="BZ99" s="87"/>
      <c r="CA99" s="87"/>
      <c r="CB99" s="87"/>
      <c r="CC99" s="87"/>
      <c r="CD99" s="89">
        <f t="shared" si="307"/>
        <v>0</v>
      </c>
      <c r="CE99" s="87"/>
      <c r="CF99" s="87"/>
      <c r="CG99" s="87"/>
      <c r="CH99" s="87"/>
      <c r="CI99" s="87"/>
      <c r="CJ99" s="87"/>
      <c r="CK99" s="87"/>
      <c r="CL99" s="87"/>
      <c r="CM99" s="87"/>
      <c r="CN99" s="87"/>
      <c r="CO99" s="87"/>
      <c r="CP99" s="38"/>
      <c r="CQ99" s="86">
        <f t="shared" si="308"/>
        <v>0</v>
      </c>
      <c r="CR99" s="95"/>
      <c r="CS99" s="95"/>
      <c r="CT99" s="95"/>
      <c r="CU99" s="95"/>
      <c r="CV99" s="95"/>
      <c r="CW99" s="95"/>
      <c r="CX99" s="95"/>
      <c r="CY99" s="95"/>
      <c r="CZ99" s="95"/>
      <c r="DA99" s="95"/>
      <c r="DB99" s="95"/>
      <c r="DC99" s="95"/>
      <c r="DD99" s="95"/>
      <c r="DE99" s="95"/>
      <c r="DF99" s="95"/>
      <c r="DG99" s="95"/>
      <c r="DH99" s="95"/>
      <c r="DI99" s="95"/>
      <c r="DJ99" s="95"/>
      <c r="DK99" s="95"/>
    </row>
    <row r="100" spans="1:115" ht="14.25" customHeight="1" outlineLevel="1" x14ac:dyDescent="0.4">
      <c r="A100" s="94"/>
      <c r="B100" s="95" t="s">
        <v>119</v>
      </c>
      <c r="C100" s="39">
        <f t="shared" si="318"/>
        <v>-46343928</v>
      </c>
      <c r="D100" s="107"/>
      <c r="E100" s="87"/>
      <c r="F100" s="95"/>
      <c r="G100" s="95"/>
      <c r="H100" s="87"/>
      <c r="I100" s="87"/>
      <c r="J100" s="87"/>
      <c r="K100" s="87"/>
      <c r="L100" s="87"/>
      <c r="M100" s="87"/>
      <c r="N100" s="87"/>
      <c r="O100" s="87"/>
      <c r="P100" s="87"/>
      <c r="Q100" s="89">
        <f t="shared" si="310"/>
        <v>0</v>
      </c>
      <c r="R100" s="87"/>
      <c r="S100" s="87"/>
      <c r="T100" s="87"/>
      <c r="U100" s="87"/>
      <c r="V100" s="87"/>
      <c r="W100" s="95"/>
      <c r="X100" s="95"/>
      <c r="Y100" s="87"/>
      <c r="Z100" s="87">
        <f t="shared" si="339"/>
        <v>-14808850</v>
      </c>
      <c r="AA100" s="87">
        <f t="shared" si="342"/>
        <v>-8069547.5</v>
      </c>
      <c r="AB100" s="87">
        <f t="shared" si="340"/>
        <v>-7404425</v>
      </c>
      <c r="AC100" s="87">
        <f t="shared" si="343"/>
        <v>-8673139.75</v>
      </c>
      <c r="AD100" s="89">
        <f t="shared" si="331"/>
        <v>-38955962.25</v>
      </c>
      <c r="AE100" s="87">
        <f>AC99</f>
        <v>-2961770</v>
      </c>
      <c r="AF100" s="87">
        <f t="shared" si="344"/>
        <v>-2616575.25</v>
      </c>
      <c r="AG100" s="87">
        <f>AF99</f>
        <v>0</v>
      </c>
      <c r="AH100" s="87">
        <f>AG99</f>
        <v>-1809620.5</v>
      </c>
      <c r="AK100" s="87"/>
      <c r="AL100" s="95"/>
      <c r="AQ100" s="89">
        <f t="shared" si="337"/>
        <v>-7387965.75</v>
      </c>
      <c r="AZ100" s="87"/>
      <c r="BA100" s="87"/>
      <c r="BB100" s="87"/>
      <c r="BC100" s="87"/>
      <c r="BD100" s="89">
        <f t="shared" si="325"/>
        <v>0</v>
      </c>
      <c r="BE100" s="87"/>
      <c r="BF100" s="87"/>
      <c r="BG100" s="87"/>
      <c r="BH100" s="87"/>
      <c r="BI100" s="87"/>
      <c r="BJ100" s="87"/>
      <c r="BK100" s="87"/>
      <c r="BL100" s="87"/>
      <c r="BM100" s="87"/>
      <c r="BN100" s="87"/>
      <c r="BO100" s="87"/>
      <c r="BP100" s="87"/>
      <c r="BQ100" s="89">
        <f t="shared" si="306"/>
        <v>0</v>
      </c>
      <c r="BR100" s="87"/>
      <c r="BS100" s="87"/>
      <c r="BT100" s="87"/>
      <c r="BU100" s="87"/>
      <c r="BV100" s="87"/>
      <c r="BW100" s="87"/>
      <c r="BX100" s="87"/>
      <c r="BY100" s="87"/>
      <c r="BZ100" s="87"/>
      <c r="CA100" s="87"/>
      <c r="CB100" s="87"/>
      <c r="CC100" s="87"/>
      <c r="CD100" s="89">
        <f t="shared" si="307"/>
        <v>0</v>
      </c>
      <c r="CE100" s="87"/>
      <c r="CF100" s="87"/>
      <c r="CG100" s="87"/>
      <c r="CH100" s="87"/>
      <c r="CI100" s="87"/>
      <c r="CJ100" s="87"/>
      <c r="CK100" s="87"/>
      <c r="CL100" s="87"/>
      <c r="CM100" s="87"/>
      <c r="CN100" s="87"/>
      <c r="CO100" s="87"/>
      <c r="CP100" s="38"/>
      <c r="CQ100" s="86">
        <f t="shared" si="308"/>
        <v>0</v>
      </c>
      <c r="CR100" s="95"/>
      <c r="CS100" s="95"/>
      <c r="CT100" s="95"/>
      <c r="CU100" s="95"/>
      <c r="CV100" s="95"/>
      <c r="CW100" s="95"/>
      <c r="CX100" s="95"/>
      <c r="CY100" s="95"/>
      <c r="CZ100" s="95"/>
      <c r="DA100" s="95"/>
      <c r="DB100" s="95"/>
      <c r="DC100" s="95"/>
      <c r="DD100" s="95"/>
      <c r="DE100" s="95"/>
      <c r="DF100" s="95"/>
      <c r="DG100" s="95"/>
      <c r="DH100" s="95"/>
      <c r="DI100" s="95"/>
      <c r="DJ100" s="95"/>
      <c r="DK100" s="95"/>
    </row>
    <row r="101" spans="1:115" ht="14.25" customHeight="1" outlineLevel="1" x14ac:dyDescent="0.4">
      <c r="A101" s="94"/>
      <c r="B101" s="95" t="s">
        <v>120</v>
      </c>
      <c r="C101" s="39">
        <f t="shared" si="318"/>
        <v>-46343928</v>
      </c>
      <c r="D101" s="95"/>
      <c r="E101" s="87"/>
      <c r="F101" s="95"/>
      <c r="G101" s="95"/>
      <c r="H101" s="87"/>
      <c r="I101" s="87"/>
      <c r="J101" s="87"/>
      <c r="K101" s="87"/>
      <c r="L101" s="87"/>
      <c r="M101" s="87"/>
      <c r="N101" s="87"/>
      <c r="O101" s="87"/>
      <c r="P101" s="87"/>
      <c r="Q101" s="89">
        <f t="shared" si="310"/>
        <v>0</v>
      </c>
      <c r="R101" s="87"/>
      <c r="S101" s="87"/>
      <c r="T101" s="87"/>
      <c r="U101" s="87"/>
      <c r="V101" s="87"/>
      <c r="W101" s="95"/>
      <c r="X101" s="95"/>
      <c r="Y101" s="87"/>
      <c r="Z101" s="87"/>
      <c r="AA101" s="87">
        <f t="shared" si="342"/>
        <v>-14808850</v>
      </c>
      <c r="AB101" s="87">
        <f t="shared" si="340"/>
        <v>-8069547.5</v>
      </c>
      <c r="AC101" s="87">
        <f t="shared" si="343"/>
        <v>-7404425</v>
      </c>
      <c r="AD101" s="89">
        <f t="shared" si="331"/>
        <v>-30282822.5</v>
      </c>
      <c r="AE101" s="87">
        <f>AC100</f>
        <v>-8673139.75</v>
      </c>
      <c r="AF101" s="87">
        <f t="shared" si="344"/>
        <v>-2961770</v>
      </c>
      <c r="AG101" s="87">
        <f>AF100</f>
        <v>-2616575.25</v>
      </c>
      <c r="AH101" s="87">
        <f>AG100</f>
        <v>0</v>
      </c>
      <c r="AI101" s="87">
        <f>AH100</f>
        <v>-1809620.5</v>
      </c>
      <c r="AQ101" s="89">
        <f t="shared" si="337"/>
        <v>-16061105.5</v>
      </c>
      <c r="AZ101" s="87"/>
      <c r="BA101" s="87"/>
      <c r="BB101" s="95"/>
      <c r="BC101" s="87"/>
      <c r="BD101" s="89">
        <f t="shared" si="325"/>
        <v>0</v>
      </c>
      <c r="BE101" s="87"/>
      <c r="BF101" s="87"/>
      <c r="BG101" s="87"/>
      <c r="BH101" s="87"/>
      <c r="BI101" s="87"/>
      <c r="BJ101" s="87"/>
      <c r="BK101" s="87"/>
      <c r="BL101" s="87"/>
      <c r="BM101" s="87"/>
      <c r="BN101" s="87"/>
      <c r="BO101" s="87"/>
      <c r="BP101" s="87"/>
      <c r="BQ101" s="89">
        <f t="shared" si="306"/>
        <v>0</v>
      </c>
      <c r="BR101" s="87"/>
      <c r="BS101" s="87"/>
      <c r="BT101" s="87"/>
      <c r="BU101" s="87"/>
      <c r="BV101" s="87"/>
      <c r="BW101" s="87"/>
      <c r="BX101" s="87"/>
      <c r="BY101" s="87"/>
      <c r="BZ101" s="87"/>
      <c r="CA101" s="87"/>
      <c r="CB101" s="87"/>
      <c r="CC101" s="87"/>
      <c r="CD101" s="89">
        <f t="shared" si="307"/>
        <v>0</v>
      </c>
      <c r="CE101" s="87"/>
      <c r="CF101" s="87"/>
      <c r="CG101" s="87"/>
      <c r="CH101" s="87"/>
      <c r="CI101" s="87"/>
      <c r="CJ101" s="87"/>
      <c r="CK101" s="87"/>
      <c r="CL101" s="87"/>
      <c r="CM101" s="87"/>
      <c r="CN101" s="87"/>
      <c r="CO101" s="87"/>
      <c r="CP101" s="38"/>
      <c r="CQ101" s="86">
        <f t="shared" si="308"/>
        <v>0</v>
      </c>
      <c r="CR101" s="95"/>
      <c r="CS101" s="95"/>
      <c r="CT101" s="95"/>
      <c r="CU101" s="95"/>
      <c r="CV101" s="95"/>
      <c r="CW101" s="95"/>
      <c r="CX101" s="95"/>
      <c r="CY101" s="95"/>
      <c r="CZ101" s="95"/>
      <c r="DA101" s="95"/>
      <c r="DB101" s="95"/>
      <c r="DC101" s="95"/>
      <c r="DD101" s="95"/>
      <c r="DE101" s="95"/>
      <c r="DF101" s="95"/>
      <c r="DG101" s="95"/>
      <c r="DH101" s="95"/>
      <c r="DI101" s="95"/>
      <c r="DJ101" s="95"/>
      <c r="DK101" s="95"/>
    </row>
    <row r="102" spans="1:115" ht="14.25" customHeight="1" outlineLevel="1" x14ac:dyDescent="0.4">
      <c r="A102" s="94"/>
      <c r="B102" s="95" t="s">
        <v>121</v>
      </c>
      <c r="C102" s="39">
        <f t="shared" si="318"/>
        <v>-46343928</v>
      </c>
      <c r="D102" s="95"/>
      <c r="E102" s="87"/>
      <c r="F102" s="95"/>
      <c r="G102" s="95"/>
      <c r="H102" s="87"/>
      <c r="I102" s="87"/>
      <c r="J102" s="87"/>
      <c r="K102" s="87"/>
      <c r="L102" s="87"/>
      <c r="M102" s="87"/>
      <c r="N102" s="87"/>
      <c r="O102" s="87"/>
      <c r="P102" s="87"/>
      <c r="Q102" s="89">
        <f t="shared" si="310"/>
        <v>0</v>
      </c>
      <c r="R102" s="87"/>
      <c r="S102" s="87"/>
      <c r="T102" s="87"/>
      <c r="U102" s="87"/>
      <c r="V102" s="87"/>
      <c r="W102" s="87"/>
      <c r="X102" s="87"/>
      <c r="Y102" s="87"/>
      <c r="Z102" s="87"/>
      <c r="AA102" s="87"/>
      <c r="AB102" s="87">
        <f>V96</f>
        <v>-14808850</v>
      </c>
      <c r="AC102" s="87">
        <f>W96</f>
        <v>-8069547.5</v>
      </c>
      <c r="AD102" s="89">
        <f t="shared" si="331"/>
        <v>-22878397.5</v>
      </c>
      <c r="AE102" s="87">
        <f>X96</f>
        <v>-7404425</v>
      </c>
      <c r="AF102" s="87">
        <f t="shared" si="344"/>
        <v>-8673139.75</v>
      </c>
      <c r="AG102" s="87">
        <f>Z96</f>
        <v>-2961770</v>
      </c>
      <c r="AH102" s="87">
        <f>AA96</f>
        <v>-2616575.25</v>
      </c>
      <c r="AI102" s="87">
        <f>AB96</f>
        <v>0</v>
      </c>
      <c r="AJ102" s="87">
        <f>AC96</f>
        <v>-1809620.5</v>
      </c>
      <c r="AK102" s="87"/>
      <c r="AL102" s="87"/>
      <c r="AQ102" s="89">
        <f t="shared" si="337"/>
        <v>-23465530.5</v>
      </c>
      <c r="BD102" s="89">
        <f t="shared" si="325"/>
        <v>0</v>
      </c>
      <c r="BE102" s="87"/>
      <c r="BF102" s="87"/>
      <c r="BG102" s="87"/>
      <c r="BH102" s="87"/>
      <c r="BI102" s="87"/>
      <c r="BJ102" s="87"/>
      <c r="BK102" s="87"/>
      <c r="BL102" s="87"/>
      <c r="BM102" s="87"/>
      <c r="BN102" s="87"/>
      <c r="BO102" s="87"/>
      <c r="BP102" s="87"/>
      <c r="BQ102" s="89">
        <f t="shared" si="306"/>
        <v>0</v>
      </c>
      <c r="BR102" s="87"/>
      <c r="BS102" s="87"/>
      <c r="BT102" s="87"/>
      <c r="BU102" s="87"/>
      <c r="BV102" s="87"/>
      <c r="BW102" s="87"/>
      <c r="BX102" s="87"/>
      <c r="BY102" s="87"/>
      <c r="BZ102" s="87"/>
      <c r="CA102" s="87"/>
      <c r="CB102" s="87"/>
      <c r="CC102" s="87"/>
      <c r="CD102" s="89">
        <f t="shared" si="307"/>
        <v>0</v>
      </c>
      <c r="CE102" s="87"/>
      <c r="CF102" s="87"/>
      <c r="CG102" s="87"/>
      <c r="CH102" s="87"/>
      <c r="CI102" s="87"/>
      <c r="CJ102" s="87"/>
      <c r="CK102" s="87"/>
      <c r="CL102" s="87"/>
      <c r="CM102" s="87"/>
      <c r="CN102" s="87"/>
      <c r="CO102" s="87"/>
      <c r="CP102" s="38"/>
      <c r="CQ102" s="86">
        <f t="shared" si="308"/>
        <v>0</v>
      </c>
      <c r="CR102" s="95"/>
      <c r="CS102" s="95"/>
      <c r="CT102" s="95"/>
      <c r="CU102" s="95"/>
      <c r="CV102" s="95"/>
      <c r="CW102" s="95"/>
      <c r="CX102" s="95"/>
      <c r="CY102" s="95"/>
      <c r="CZ102" s="95"/>
      <c r="DA102" s="95"/>
      <c r="DB102" s="95"/>
      <c r="DC102" s="95"/>
      <c r="DD102" s="95"/>
      <c r="DE102" s="95"/>
      <c r="DF102" s="95"/>
      <c r="DG102" s="95"/>
      <c r="DH102" s="95"/>
      <c r="DI102" s="95"/>
      <c r="DJ102" s="95"/>
      <c r="DK102" s="95"/>
    </row>
    <row r="103" spans="1:115" ht="14.25" customHeight="1" outlineLevel="1" x14ac:dyDescent="0.4">
      <c r="A103" s="94"/>
      <c r="B103" s="95" t="s">
        <v>122</v>
      </c>
      <c r="C103" s="39">
        <f t="shared" si="318"/>
        <v>-46343928</v>
      </c>
      <c r="D103" s="95"/>
      <c r="E103" s="87"/>
      <c r="F103" s="95"/>
      <c r="G103" s="95"/>
      <c r="H103" s="87"/>
      <c r="I103" s="87"/>
      <c r="J103" s="87"/>
      <c r="K103" s="87"/>
      <c r="L103" s="87"/>
      <c r="M103" s="87"/>
      <c r="N103" s="87"/>
      <c r="O103" s="87"/>
      <c r="P103" s="87"/>
      <c r="Q103" s="89">
        <f t="shared" si="310"/>
        <v>0</v>
      </c>
      <c r="R103" s="87"/>
      <c r="S103" s="87"/>
      <c r="T103" s="87"/>
      <c r="U103" s="87"/>
      <c r="V103" s="87"/>
      <c r="W103" s="87"/>
      <c r="X103" s="87"/>
      <c r="Y103" s="87"/>
      <c r="Z103" s="87"/>
      <c r="AA103" s="87"/>
      <c r="AB103" s="87"/>
      <c r="AC103" s="87">
        <f>AB102</f>
        <v>-14808850</v>
      </c>
      <c r="AD103" s="89">
        <f t="shared" si="331"/>
        <v>-14808850</v>
      </c>
      <c r="AE103" s="87">
        <f>AC102</f>
        <v>-8069547.5</v>
      </c>
      <c r="AF103" s="87">
        <f t="shared" si="344"/>
        <v>-7404425</v>
      </c>
      <c r="AG103" s="87">
        <f>AF102</f>
        <v>-8673139.75</v>
      </c>
      <c r="AH103" s="87">
        <f>AG102</f>
        <v>-2961770</v>
      </c>
      <c r="AI103" s="87">
        <f>AH102</f>
        <v>-2616575.25</v>
      </c>
      <c r="AJ103" s="87">
        <f>AI102</f>
        <v>0</v>
      </c>
      <c r="AK103" s="87">
        <f>AJ102</f>
        <v>-1809620.5</v>
      </c>
      <c r="AQ103" s="89">
        <f t="shared" si="337"/>
        <v>-31535078</v>
      </c>
      <c r="BD103" s="89">
        <f t="shared" si="325"/>
        <v>0</v>
      </c>
      <c r="BE103" s="87"/>
      <c r="BF103" s="87"/>
      <c r="BG103" s="87"/>
      <c r="BH103" s="87"/>
      <c r="BI103" s="87"/>
      <c r="BJ103" s="87"/>
      <c r="BK103" s="87"/>
      <c r="BL103" s="87"/>
      <c r="BM103" s="87"/>
      <c r="BN103" s="87"/>
      <c r="BO103" s="87"/>
      <c r="BP103" s="87"/>
      <c r="BQ103" s="89">
        <f t="shared" si="306"/>
        <v>0</v>
      </c>
      <c r="BR103" s="87"/>
      <c r="BS103" s="87"/>
      <c r="BT103" s="87"/>
      <c r="BU103" s="87"/>
      <c r="BV103" s="87"/>
      <c r="BW103" s="87"/>
      <c r="BX103" s="87"/>
      <c r="BY103" s="87"/>
      <c r="BZ103" s="87"/>
      <c r="CA103" s="87"/>
      <c r="CB103" s="87"/>
      <c r="CC103" s="87"/>
      <c r="CD103" s="89">
        <f t="shared" si="307"/>
        <v>0</v>
      </c>
      <c r="CE103" s="87"/>
      <c r="CF103" s="87"/>
      <c r="CG103" s="87"/>
      <c r="CH103" s="87"/>
      <c r="CI103" s="87"/>
      <c r="CJ103" s="87"/>
      <c r="CK103" s="87"/>
      <c r="CL103" s="87"/>
      <c r="CM103" s="87"/>
      <c r="CN103" s="87"/>
      <c r="CO103" s="87"/>
      <c r="CP103" s="38"/>
      <c r="CQ103" s="86">
        <f t="shared" si="308"/>
        <v>0</v>
      </c>
      <c r="CR103" s="95"/>
      <c r="CS103" s="95"/>
      <c r="CT103" s="95"/>
      <c r="CU103" s="95"/>
      <c r="CV103" s="95"/>
      <c r="CW103" s="95"/>
      <c r="CX103" s="95"/>
      <c r="CY103" s="95"/>
      <c r="CZ103" s="95"/>
      <c r="DA103" s="95"/>
      <c r="DB103" s="95"/>
      <c r="DC103" s="95"/>
      <c r="DD103" s="95"/>
      <c r="DE103" s="95"/>
      <c r="DF103" s="95"/>
      <c r="DG103" s="95"/>
      <c r="DH103" s="95"/>
      <c r="DI103" s="95"/>
      <c r="DJ103" s="95"/>
      <c r="DK103" s="95"/>
    </row>
    <row r="104" spans="1:115" ht="14.25" customHeight="1" outlineLevel="1" x14ac:dyDescent="0.4">
      <c r="A104" s="94"/>
      <c r="B104" s="95" t="s">
        <v>123</v>
      </c>
      <c r="C104" s="39">
        <f t="shared" si="318"/>
        <v>-46343928</v>
      </c>
      <c r="D104" s="95"/>
      <c r="E104" s="87"/>
      <c r="F104" s="95"/>
      <c r="G104" s="95"/>
      <c r="H104" s="87"/>
      <c r="I104" s="87"/>
      <c r="J104" s="87"/>
      <c r="K104" s="87"/>
      <c r="L104" s="87"/>
      <c r="M104" s="87"/>
      <c r="N104" s="87"/>
      <c r="O104" s="87"/>
      <c r="P104" s="87"/>
      <c r="Q104" s="89">
        <f t="shared" si="310"/>
        <v>0</v>
      </c>
      <c r="R104" s="87"/>
      <c r="S104" s="87"/>
      <c r="T104" s="87"/>
      <c r="U104" s="87"/>
      <c r="V104" s="87"/>
      <c r="W104" s="87"/>
      <c r="X104" s="87"/>
      <c r="Y104" s="87"/>
      <c r="Z104" s="87"/>
      <c r="AA104" s="87"/>
      <c r="AB104" s="87"/>
      <c r="AC104" s="87"/>
      <c r="AD104" s="89">
        <f>SUM(R104:AC104)</f>
        <v>0</v>
      </c>
      <c r="AE104" s="87">
        <f>AC103</f>
        <v>-14808850</v>
      </c>
      <c r="AF104" s="87">
        <f t="shared" si="344"/>
        <v>-8069547.5</v>
      </c>
      <c r="AG104" s="87">
        <f>AF103</f>
        <v>-7404425</v>
      </c>
      <c r="AH104" s="87">
        <f>AG103</f>
        <v>-8673139.75</v>
      </c>
      <c r="AI104" s="87">
        <f>AH103</f>
        <v>-2961770</v>
      </c>
      <c r="AJ104" s="87">
        <f>AI103</f>
        <v>-2616575.25</v>
      </c>
      <c r="AL104" s="87">
        <f>AK103</f>
        <v>-1809620.5</v>
      </c>
      <c r="AQ104" s="89">
        <f t="shared" si="337"/>
        <v>-46343928</v>
      </c>
      <c r="AS104" s="95"/>
      <c r="BD104" s="89">
        <f t="shared" si="325"/>
        <v>0</v>
      </c>
      <c r="BE104" s="87">
        <f>AJ103</f>
        <v>0</v>
      </c>
      <c r="BF104" s="87"/>
      <c r="BG104" s="87"/>
      <c r="BH104" s="87"/>
      <c r="BI104" s="87"/>
      <c r="BJ104" s="87"/>
      <c r="BK104" s="87"/>
      <c r="BL104" s="87"/>
      <c r="BM104" s="87"/>
      <c r="BN104" s="87"/>
      <c r="BO104" s="87"/>
      <c r="BP104" s="87"/>
      <c r="BQ104" s="89"/>
      <c r="BR104" s="87"/>
      <c r="BS104" s="87"/>
      <c r="BT104" s="87"/>
      <c r="BU104" s="87"/>
      <c r="BV104" s="87"/>
      <c r="BW104" s="87"/>
      <c r="BX104" s="87"/>
      <c r="BY104" s="87"/>
      <c r="BZ104" s="87"/>
      <c r="CA104" s="87"/>
      <c r="CB104" s="87"/>
      <c r="CC104" s="87"/>
      <c r="CD104" s="89">
        <f t="shared" si="307"/>
        <v>0</v>
      </c>
      <c r="CE104" s="87"/>
      <c r="CF104" s="87"/>
      <c r="CG104" s="87"/>
      <c r="CH104" s="87"/>
      <c r="CI104" s="87"/>
      <c r="CJ104" s="87"/>
      <c r="CK104" s="87"/>
      <c r="CL104" s="87"/>
      <c r="CM104" s="87">
        <f>CL104</f>
        <v>0</v>
      </c>
      <c r="CN104" s="87"/>
      <c r="CO104" s="87"/>
      <c r="CP104" s="38"/>
      <c r="CQ104" s="86">
        <f t="shared" si="308"/>
        <v>0</v>
      </c>
      <c r="CR104" s="95"/>
      <c r="CS104" s="95"/>
      <c r="CT104" s="95"/>
      <c r="CU104" s="95"/>
      <c r="CV104" s="95"/>
      <c r="CW104" s="95"/>
      <c r="CX104" s="95"/>
      <c r="CY104" s="95"/>
      <c r="CZ104" s="95"/>
      <c r="DA104" s="95"/>
      <c r="DB104" s="95"/>
      <c r="DC104" s="95"/>
      <c r="DD104" s="95"/>
      <c r="DE104" s="95"/>
      <c r="DF104" s="95"/>
      <c r="DG104" s="95"/>
      <c r="DH104" s="95"/>
      <c r="DI104" s="95"/>
      <c r="DJ104" s="95"/>
      <c r="DK104" s="95"/>
    </row>
    <row r="105" spans="1:115" ht="14.25" customHeight="1" outlineLevel="1" x14ac:dyDescent="0.4">
      <c r="A105" s="94"/>
      <c r="B105" s="95"/>
      <c r="C105" s="86"/>
      <c r="D105" s="95"/>
      <c r="E105" s="87"/>
      <c r="F105" s="95"/>
      <c r="G105" s="95"/>
      <c r="H105" s="87"/>
      <c r="I105" s="87"/>
      <c r="J105" s="87"/>
      <c r="K105" s="87"/>
      <c r="L105" s="87"/>
      <c r="M105" s="87"/>
      <c r="N105" s="87"/>
      <c r="O105" s="87"/>
      <c r="P105" s="87"/>
      <c r="Q105" s="89"/>
      <c r="R105" s="87"/>
      <c r="S105" s="87"/>
      <c r="T105" s="87"/>
      <c r="U105" s="87"/>
      <c r="V105" s="87"/>
      <c r="W105" s="87"/>
      <c r="X105" s="87"/>
      <c r="Y105" s="87"/>
      <c r="Z105" s="87"/>
      <c r="AA105" s="87"/>
      <c r="AB105" s="87"/>
      <c r="AC105" s="87"/>
      <c r="AD105" s="89"/>
      <c r="AE105" s="87"/>
      <c r="AF105" s="87"/>
      <c r="AG105" s="87"/>
      <c r="AH105" s="87"/>
      <c r="AI105" s="87"/>
      <c r="AJ105" s="87"/>
      <c r="AK105" s="87"/>
      <c r="AL105" s="87"/>
      <c r="AM105" s="87"/>
      <c r="AN105" s="87"/>
      <c r="AO105" s="95"/>
      <c r="AP105" s="95"/>
      <c r="AQ105" s="89">
        <f t="shared" ref="AQ105" si="345">SUM(AC105:AK105)</f>
        <v>0</v>
      </c>
      <c r="AR105" s="95"/>
      <c r="AS105" s="95"/>
      <c r="AT105" s="95"/>
      <c r="AU105" s="95"/>
      <c r="AV105" s="95"/>
      <c r="AW105" s="87"/>
      <c r="AX105" s="95"/>
      <c r="AY105" s="87"/>
      <c r="AZ105" s="87"/>
      <c r="BA105" s="87"/>
      <c r="BB105" s="87"/>
      <c r="BC105" s="87"/>
      <c r="BD105" s="89"/>
      <c r="BE105" s="87"/>
      <c r="BF105" s="87"/>
      <c r="BG105" s="87"/>
      <c r="BH105" s="87"/>
      <c r="BI105" s="87"/>
      <c r="BJ105" s="87"/>
      <c r="BK105" s="87"/>
      <c r="BL105" s="87"/>
      <c r="BM105" s="87"/>
      <c r="BN105" s="87"/>
      <c r="BO105" s="87"/>
      <c r="BP105" s="87"/>
      <c r="BQ105" s="89"/>
      <c r="BR105" s="87"/>
      <c r="BS105" s="87"/>
      <c r="BT105" s="87"/>
      <c r="BU105" s="87"/>
      <c r="BV105" s="87"/>
      <c r="BW105" s="87"/>
      <c r="BX105" s="87"/>
      <c r="BY105" s="87"/>
      <c r="BZ105" s="87"/>
      <c r="CA105" s="87"/>
      <c r="CB105" s="87"/>
      <c r="CC105" s="87"/>
      <c r="CD105" s="89"/>
      <c r="CE105" s="87"/>
      <c r="CF105" s="87"/>
      <c r="CG105" s="87"/>
      <c r="CH105" s="87"/>
      <c r="CI105" s="87"/>
      <c r="CJ105" s="87"/>
      <c r="CK105" s="87"/>
      <c r="CL105" s="87"/>
      <c r="CM105" s="87"/>
      <c r="CN105" s="87"/>
      <c r="CO105" s="87"/>
      <c r="CP105" s="38"/>
      <c r="CQ105" s="86"/>
      <c r="CR105" s="95"/>
      <c r="CS105" s="95"/>
      <c r="CT105" s="95"/>
      <c r="CU105" s="95"/>
      <c r="CV105" s="95"/>
      <c r="CW105" s="95"/>
      <c r="CX105" s="95"/>
      <c r="CY105" s="95"/>
      <c r="CZ105" s="95"/>
      <c r="DA105" s="95"/>
      <c r="DB105" s="95"/>
      <c r="DC105" s="95"/>
      <c r="DD105" s="95"/>
      <c r="DE105" s="95"/>
      <c r="DF105" s="95"/>
      <c r="DG105" s="95"/>
      <c r="DH105" s="95"/>
      <c r="DI105" s="95"/>
      <c r="DJ105" s="95"/>
      <c r="DK105" s="95"/>
    </row>
    <row r="106" spans="1:115" ht="14.25" customHeight="1" x14ac:dyDescent="0.4">
      <c r="A106" s="37"/>
      <c r="B106" s="91" t="s">
        <v>124</v>
      </c>
      <c r="C106" s="24"/>
      <c r="D106" s="578">
        <f>SUM(E106:CQ106)-Q106-AD106-AQ106-BD106-BQ106-CD106-CQ106</f>
        <v>-1420735979.6814911</v>
      </c>
      <c r="E106" s="49">
        <f t="shared" ref="E106:AJ106" si="346">E51+E57+E84</f>
        <v>-13025882.416666666</v>
      </c>
      <c r="F106" s="49">
        <f t="shared" si="346"/>
        <v>-2958153.4166666665</v>
      </c>
      <c r="G106" s="49">
        <f t="shared" si="346"/>
        <v>-23842635.916666668</v>
      </c>
      <c r="H106" s="49">
        <f t="shared" si="346"/>
        <v>-3426232.1166666662</v>
      </c>
      <c r="I106" s="49">
        <f t="shared" si="346"/>
        <v>-41593462.38666667</v>
      </c>
      <c r="J106" s="49">
        <f t="shared" si="346"/>
        <v>-11064354.066666666</v>
      </c>
      <c r="K106" s="49">
        <f t="shared" si="346"/>
        <v>-14052718.5</v>
      </c>
      <c r="L106" s="49">
        <f t="shared" si="346"/>
        <v>-36442422.700000003</v>
      </c>
      <c r="M106" s="49">
        <f t="shared" si="346"/>
        <v>-41509925.700000003</v>
      </c>
      <c r="N106" s="49">
        <f t="shared" si="346"/>
        <v>-45952580.700000003</v>
      </c>
      <c r="O106" s="49">
        <f t="shared" si="346"/>
        <v>-53973349.033333331</v>
      </c>
      <c r="P106" s="49">
        <f t="shared" si="346"/>
        <v>-56935119.033333331</v>
      </c>
      <c r="Q106" s="49">
        <f t="shared" si="346"/>
        <v>-344766835.98666668</v>
      </c>
      <c r="R106" s="49">
        <f t="shared" si="346"/>
        <v>-57583542.32</v>
      </c>
      <c r="S106" s="49">
        <f t="shared" si="346"/>
        <v>-57718125.653333336</v>
      </c>
      <c r="T106" s="49">
        <f t="shared" si="346"/>
        <v>-59683829.486666664</v>
      </c>
      <c r="U106" s="49">
        <f t="shared" si="346"/>
        <v>-59846912.82</v>
      </c>
      <c r="V106" s="49">
        <f t="shared" si="346"/>
        <v>-59991496.153333336</v>
      </c>
      <c r="W106" s="49">
        <f t="shared" si="346"/>
        <v>-60163329.486666664</v>
      </c>
      <c r="X106" s="49">
        <f t="shared" si="346"/>
        <v>-60328662.82</v>
      </c>
      <c r="Y106" s="49">
        <f t="shared" si="346"/>
        <v>-60475496.153333336</v>
      </c>
      <c r="Z106" s="49">
        <f t="shared" si="346"/>
        <v>-60633829.486666664</v>
      </c>
      <c r="AA106" s="49">
        <f t="shared" si="346"/>
        <v>-60804162.82</v>
      </c>
      <c r="AB106" s="49">
        <f t="shared" si="346"/>
        <v>-60945996.153333336</v>
      </c>
      <c r="AC106" s="49">
        <f t="shared" si="346"/>
        <v>-61104329.486666664</v>
      </c>
      <c r="AD106" s="49">
        <f t="shared" si="346"/>
        <v>-719279712.84000003</v>
      </c>
      <c r="AE106" s="49">
        <f t="shared" si="346"/>
        <v>-61336467.098133333</v>
      </c>
      <c r="AF106" s="49">
        <f t="shared" si="346"/>
        <v>-34288764.231466666</v>
      </c>
      <c r="AG106" s="49">
        <f t="shared" si="346"/>
        <v>-26377550.064800002</v>
      </c>
      <c r="AH106" s="49">
        <f t="shared" si="346"/>
        <v>-19143458.398133334</v>
      </c>
      <c r="AI106" s="49">
        <f t="shared" si="346"/>
        <v>-10612151.981466668</v>
      </c>
      <c r="AJ106" s="49">
        <f t="shared" si="346"/>
        <v>-7808715.3148000007</v>
      </c>
      <c r="AK106" s="49">
        <f t="shared" ref="AK106:BP106" si="347">AK51+AK57+AK84</f>
        <v>-5362473.3981333338</v>
      </c>
      <c r="AL106" s="49">
        <f t="shared" si="347"/>
        <v>-5347473.3981333338</v>
      </c>
      <c r="AM106" s="49">
        <f t="shared" si="347"/>
        <v>-3539352.8981333338</v>
      </c>
      <c r="AN106" s="49">
        <f t="shared" si="347"/>
        <v>-3557852.8981333338</v>
      </c>
      <c r="AO106" s="49">
        <f t="shared" si="347"/>
        <v>-3537852.8981333338</v>
      </c>
      <c r="AP106" s="49">
        <f t="shared" si="347"/>
        <v>-3539352.8981333338</v>
      </c>
      <c r="AQ106" s="49">
        <f t="shared" si="347"/>
        <v>-184451465.47760001</v>
      </c>
      <c r="AR106" s="49">
        <f t="shared" si="347"/>
        <v>-3581632.3473920003</v>
      </c>
      <c r="AS106" s="49">
        <f t="shared" si="347"/>
        <v>-3555632.3473920003</v>
      </c>
      <c r="AT106" s="49">
        <f t="shared" si="347"/>
        <v>-3557132.3473920003</v>
      </c>
      <c r="AU106" s="49">
        <f t="shared" si="347"/>
        <v>-3570632.3473920003</v>
      </c>
      <c r="AV106" s="49">
        <f t="shared" si="347"/>
        <v>-3555632.3473920003</v>
      </c>
      <c r="AW106" s="49">
        <f t="shared" si="347"/>
        <v>-3557132.3473920003</v>
      </c>
      <c r="AX106" s="49">
        <f t="shared" si="347"/>
        <v>-3570632.3473920003</v>
      </c>
      <c r="AY106" s="49">
        <f t="shared" si="347"/>
        <v>-3555632.3473920003</v>
      </c>
      <c r="AZ106" s="49">
        <f t="shared" si="347"/>
        <v>-3557132.3473920003</v>
      </c>
      <c r="BA106" s="49">
        <f t="shared" si="347"/>
        <v>-3575632.3473920003</v>
      </c>
      <c r="BB106" s="49">
        <f t="shared" si="347"/>
        <v>-3555632.3473920003</v>
      </c>
      <c r="BC106" s="49">
        <f t="shared" si="347"/>
        <v>-3557132.3473920003</v>
      </c>
      <c r="BD106" s="49">
        <f t="shared" si="347"/>
        <v>-42749588.168704011</v>
      </c>
      <c r="BE106" s="49">
        <f t="shared" si="347"/>
        <v>-3596942.9746210137</v>
      </c>
      <c r="BF106" s="49">
        <f t="shared" si="347"/>
        <v>-3570942.9746210137</v>
      </c>
      <c r="BG106" s="49">
        <f t="shared" si="347"/>
        <v>-3573200.0946210138</v>
      </c>
      <c r="BH106" s="49">
        <f t="shared" si="347"/>
        <v>-3586700.0946210138</v>
      </c>
      <c r="BI106" s="49">
        <f t="shared" si="347"/>
        <v>-3572487.4994210135</v>
      </c>
      <c r="BJ106" s="49">
        <f t="shared" si="347"/>
        <v>-3573987.4994210135</v>
      </c>
      <c r="BK106" s="49">
        <f t="shared" si="347"/>
        <v>-3588306.4004130135</v>
      </c>
      <c r="BL106" s="49">
        <f t="shared" si="347"/>
        <v>-3573306.4004130135</v>
      </c>
      <c r="BM106" s="49">
        <f t="shared" si="347"/>
        <v>-3575658.0574446935</v>
      </c>
      <c r="BN106" s="49">
        <f t="shared" si="347"/>
        <v>-3594158.0574446935</v>
      </c>
      <c r="BO106" s="49">
        <f t="shared" si="347"/>
        <v>-3575043.780757641</v>
      </c>
      <c r="BP106" s="49">
        <f t="shared" si="347"/>
        <v>-3576543.780757641</v>
      </c>
      <c r="BQ106" s="49">
        <f t="shared" ref="BQ106:CQ106" si="348">BQ51+BQ57+BQ84</f>
        <v>-42957277.614556782</v>
      </c>
      <c r="BR106" s="49">
        <f t="shared" si="348"/>
        <v>-3616637.0749168028</v>
      </c>
      <c r="BS106" s="49">
        <f t="shared" si="348"/>
        <v>-3590637.0749168028</v>
      </c>
      <c r="BT106" s="49">
        <f t="shared" si="348"/>
        <v>-3592137.0749168028</v>
      </c>
      <c r="BU106" s="49">
        <f t="shared" si="348"/>
        <v>-3605637.0749168028</v>
      </c>
      <c r="BV106" s="49">
        <f t="shared" si="348"/>
        <v>-3590637.0749168028</v>
      </c>
      <c r="BW106" s="49">
        <f t="shared" si="348"/>
        <v>-3592137.0749168028</v>
      </c>
      <c r="BX106" s="49">
        <f t="shared" si="348"/>
        <v>-3605637.0749168028</v>
      </c>
      <c r="BY106" s="49">
        <f t="shared" si="348"/>
        <v>-3590637.0749168028</v>
      </c>
      <c r="BZ106" s="49">
        <f t="shared" si="348"/>
        <v>-3592137.0749168028</v>
      </c>
      <c r="CA106" s="49">
        <f t="shared" si="348"/>
        <v>-3610637.0749168028</v>
      </c>
      <c r="CB106" s="49">
        <f t="shared" si="348"/>
        <v>-3590637.0749168028</v>
      </c>
      <c r="CC106" s="49">
        <f t="shared" si="348"/>
        <v>-3592137.0749168028</v>
      </c>
      <c r="CD106" s="49">
        <f t="shared" si="348"/>
        <v>-43169644.899001636</v>
      </c>
      <c r="CE106" s="49">
        <f t="shared" si="348"/>
        <v>-3631787.8912468082</v>
      </c>
      <c r="CF106" s="49">
        <f t="shared" si="348"/>
        <v>-3605787.8912468082</v>
      </c>
      <c r="CG106" s="49">
        <f t="shared" si="348"/>
        <v>-3607287.8912468082</v>
      </c>
      <c r="CH106" s="49">
        <f t="shared" si="348"/>
        <v>-3620787.8912468082</v>
      </c>
      <c r="CI106" s="49">
        <f t="shared" si="348"/>
        <v>-3605787.8912468082</v>
      </c>
      <c r="CJ106" s="49">
        <f t="shared" si="348"/>
        <v>-3607287.8912468082</v>
      </c>
      <c r="CK106" s="49">
        <f t="shared" si="348"/>
        <v>-3620787.8912468082</v>
      </c>
      <c r="CL106" s="49">
        <f t="shared" si="348"/>
        <v>-3605787.8912468082</v>
      </c>
      <c r="CM106" s="49">
        <f t="shared" si="348"/>
        <v>-3607287.8912468082</v>
      </c>
      <c r="CN106" s="49">
        <f t="shared" si="348"/>
        <v>-3625787.8912468082</v>
      </c>
      <c r="CO106" s="49">
        <f t="shared" si="348"/>
        <v>-3605787.8912468082</v>
      </c>
      <c r="CP106" s="39">
        <f t="shared" si="348"/>
        <v>-3607287.8912468082</v>
      </c>
      <c r="CQ106" s="49">
        <f t="shared" si="348"/>
        <v>-43351454.694961704</v>
      </c>
      <c r="CR106" s="39"/>
    </row>
    <row r="107" spans="1:115" ht="14.25" customHeight="1" x14ac:dyDescent="0.4">
      <c r="A107" s="37"/>
      <c r="B107" s="91"/>
      <c r="C107" s="88"/>
      <c r="D107" s="89"/>
      <c r="E107" s="49"/>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c r="BD107" s="49"/>
      <c r="BE107" s="49"/>
      <c r="BF107" s="49"/>
      <c r="BG107" s="49"/>
      <c r="BH107" s="49"/>
      <c r="BI107" s="49"/>
      <c r="BJ107" s="49"/>
      <c r="BK107" s="49"/>
      <c r="BL107" s="49"/>
      <c r="BM107" s="49"/>
      <c r="BN107" s="49"/>
      <c r="BO107" s="49"/>
      <c r="BP107" s="49"/>
      <c r="BQ107" s="49"/>
      <c r="BR107" s="49"/>
      <c r="BS107" s="49"/>
      <c r="BT107" s="49"/>
      <c r="BU107" s="49"/>
      <c r="BV107" s="49"/>
      <c r="BW107" s="49"/>
      <c r="BX107" s="49"/>
      <c r="BY107" s="49"/>
      <c r="BZ107" s="49"/>
      <c r="CA107" s="49"/>
      <c r="CB107" s="49"/>
      <c r="CC107" s="49"/>
      <c r="CD107" s="49"/>
      <c r="CE107" s="49"/>
      <c r="CF107" s="49"/>
      <c r="CG107" s="49"/>
      <c r="CH107" s="49"/>
      <c r="CI107" s="49"/>
      <c r="CJ107" s="49"/>
      <c r="CK107" s="49"/>
      <c r="CL107" s="49"/>
      <c r="CM107" s="49"/>
      <c r="CN107" s="49"/>
      <c r="CO107" s="49"/>
      <c r="CP107" s="39"/>
      <c r="CQ107" s="49"/>
      <c r="CR107" s="39"/>
    </row>
    <row r="108" spans="1:115" ht="14.25" customHeight="1" x14ac:dyDescent="0.4">
      <c r="A108" s="94"/>
      <c r="B108" s="108" t="s">
        <v>640</v>
      </c>
      <c r="C108" s="86">
        <f t="shared" ref="C108:C109" si="349">Q108+AD108+AQ108+BD108+BQ108+CD108+CQ108</f>
        <v>6923178238.1368008</v>
      </c>
      <c r="D108" s="95"/>
      <c r="E108" s="44">
        <f t="shared" ref="E108:AJ108" si="350">E47+E106</f>
        <v>-13025882.416666666</v>
      </c>
      <c r="F108" s="44">
        <f t="shared" si="350"/>
        <v>-2958153.4166666665</v>
      </c>
      <c r="G108" s="44">
        <f t="shared" si="350"/>
        <v>-23842635.916666668</v>
      </c>
      <c r="H108" s="44">
        <f t="shared" si="350"/>
        <v>-3426232.1166666662</v>
      </c>
      <c r="I108" s="44">
        <f t="shared" si="350"/>
        <v>-41222371.800666668</v>
      </c>
      <c r="J108" s="44">
        <f t="shared" si="350"/>
        <v>-11064354.066666666</v>
      </c>
      <c r="K108" s="44">
        <f t="shared" si="350"/>
        <v>-13398637.380000001</v>
      </c>
      <c r="L108" s="44">
        <f t="shared" si="350"/>
        <v>-34355806.916556053</v>
      </c>
      <c r="M108" s="44">
        <f t="shared" si="350"/>
        <v>-38442188.236556053</v>
      </c>
      <c r="N108" s="44">
        <f t="shared" si="350"/>
        <v>-40117556.931390122</v>
      </c>
      <c r="O108" s="44">
        <f t="shared" si="350"/>
        <v>-47121606.774723448</v>
      </c>
      <c r="P108" s="44">
        <f t="shared" si="350"/>
        <v>-45883555.806113571</v>
      </c>
      <c r="Q108" s="49">
        <f t="shared" si="350"/>
        <v>-314848981.77933925</v>
      </c>
      <c r="R108" s="44">
        <f t="shared" si="350"/>
        <v>-47150463.402780235</v>
      </c>
      <c r="S108" s="44">
        <f t="shared" si="350"/>
        <v>-43396156.826113574</v>
      </c>
      <c r="T108" s="44">
        <f t="shared" si="350"/>
        <v>-39128602.710837021</v>
      </c>
      <c r="U108" s="44">
        <f t="shared" si="350"/>
        <v>-31984979.75556048</v>
      </c>
      <c r="V108" s="44">
        <f t="shared" si="350"/>
        <v>-25896305.140283935</v>
      </c>
      <c r="W108" s="44">
        <f t="shared" si="350"/>
        <v>-18761432.185007386</v>
      </c>
      <c r="X108" s="44">
        <f t="shared" si="350"/>
        <v>-12693507.569730841</v>
      </c>
      <c r="Y108" s="44">
        <f t="shared" si="350"/>
        <v>-5533634.6144542918</v>
      </c>
      <c r="Z108" s="44">
        <f t="shared" si="350"/>
        <v>541290.00082226098</v>
      </c>
      <c r="AA108" s="44">
        <f t="shared" si="350"/>
        <v>7677662.9560988173</v>
      </c>
      <c r="AB108" s="44">
        <f t="shared" si="350"/>
        <v>13769087.571375355</v>
      </c>
      <c r="AC108" s="44">
        <f t="shared" si="350"/>
        <v>20917460.526651904</v>
      </c>
      <c r="AD108" s="49">
        <f t="shared" si="350"/>
        <v>-181639581.14981949</v>
      </c>
      <c r="AE108" s="44">
        <f t="shared" si="350"/>
        <v>27537065.173795126</v>
      </c>
      <c r="AF108" s="44">
        <f t="shared" si="350"/>
        <v>82703501.029071674</v>
      </c>
      <c r="AG108" s="44">
        <f t="shared" si="350"/>
        <v>78007544.134348214</v>
      </c>
      <c r="AH108" s="44">
        <f t="shared" si="350"/>
        <v>92093378.059624761</v>
      </c>
      <c r="AI108" s="44">
        <f t="shared" si="350"/>
        <v>107312906.45490132</v>
      </c>
      <c r="AJ108" s="44">
        <f t="shared" si="350"/>
        <v>116804565.10017788</v>
      </c>
      <c r="AK108" s="44">
        <f t="shared" ref="AK108:CQ108" si="351">AK47+AK106</f>
        <v>122832143.67545441</v>
      </c>
      <c r="AL108" s="44">
        <f t="shared" si="351"/>
        <v>126428480.3340643</v>
      </c>
      <c r="AM108" s="44">
        <f t="shared" si="351"/>
        <v>128236600.8340643</v>
      </c>
      <c r="AN108" s="44">
        <f t="shared" si="351"/>
        <v>128218100.8340643</v>
      </c>
      <c r="AO108" s="44">
        <f t="shared" si="351"/>
        <v>128238100.8340643</v>
      </c>
      <c r="AP108" s="44">
        <f t="shared" si="351"/>
        <v>128236600.8340643</v>
      </c>
      <c r="AQ108" s="49">
        <f t="shared" si="351"/>
        <v>1266648987.2976949</v>
      </c>
      <c r="AR108" s="44">
        <f t="shared" si="351"/>
        <v>128194321.38480565</v>
      </c>
      <c r="AS108" s="44">
        <f t="shared" si="351"/>
        <v>128220321.38480565</v>
      </c>
      <c r="AT108" s="44">
        <f t="shared" si="351"/>
        <v>128218821.38480565</v>
      </c>
      <c r="AU108" s="44">
        <f t="shared" si="351"/>
        <v>128205321.38480565</v>
      </c>
      <c r="AV108" s="44">
        <f t="shared" si="351"/>
        <v>128220321.38480565</v>
      </c>
      <c r="AW108" s="44">
        <f t="shared" si="351"/>
        <v>128218821.38480565</v>
      </c>
      <c r="AX108" s="44">
        <f t="shared" si="351"/>
        <v>128205321.38480565</v>
      </c>
      <c r="AY108" s="44">
        <f t="shared" si="351"/>
        <v>128220321.38480565</v>
      </c>
      <c r="AZ108" s="44">
        <f t="shared" si="351"/>
        <v>128218821.38480565</v>
      </c>
      <c r="BA108" s="44">
        <f t="shared" si="351"/>
        <v>128200321.38480565</v>
      </c>
      <c r="BB108" s="44">
        <f t="shared" si="351"/>
        <v>128220321.38480565</v>
      </c>
      <c r="BC108" s="44">
        <f t="shared" si="351"/>
        <v>128218821.38480565</v>
      </c>
      <c r="BD108" s="49">
        <f t="shared" si="351"/>
        <v>1538561856.6176677</v>
      </c>
      <c r="BE108" s="44">
        <f t="shared" si="351"/>
        <v>128179010.75757663</v>
      </c>
      <c r="BF108" s="44">
        <f t="shared" si="351"/>
        <v>128205010.75757663</v>
      </c>
      <c r="BG108" s="44">
        <f t="shared" si="351"/>
        <v>128202753.63757662</v>
      </c>
      <c r="BH108" s="44">
        <f t="shared" si="351"/>
        <v>128189253.63757662</v>
      </c>
      <c r="BI108" s="44">
        <f t="shared" si="351"/>
        <v>128203466.23277663</v>
      </c>
      <c r="BJ108" s="44">
        <f t="shared" si="351"/>
        <v>128201966.23277663</v>
      </c>
      <c r="BK108" s="44">
        <f t="shared" si="351"/>
        <v>128187647.33178464</v>
      </c>
      <c r="BL108" s="44">
        <f t="shared" si="351"/>
        <v>128202647.33178464</v>
      </c>
      <c r="BM108" s="44">
        <f t="shared" si="351"/>
        <v>128200295.67475295</v>
      </c>
      <c r="BN108" s="44">
        <f t="shared" si="351"/>
        <v>128181795.67475295</v>
      </c>
      <c r="BO108" s="44">
        <f t="shared" si="351"/>
        <v>128200909.95144001</v>
      </c>
      <c r="BP108" s="44">
        <f t="shared" si="351"/>
        <v>128199409.95144001</v>
      </c>
      <c r="BQ108" s="49">
        <f t="shared" si="351"/>
        <v>1538354167.1718154</v>
      </c>
      <c r="BR108" s="44">
        <f t="shared" si="351"/>
        <v>128159316.65728083</v>
      </c>
      <c r="BS108" s="44">
        <f t="shared" si="351"/>
        <v>128185316.65728083</v>
      </c>
      <c r="BT108" s="44">
        <f t="shared" si="351"/>
        <v>128183816.65728083</v>
      </c>
      <c r="BU108" s="44">
        <f t="shared" si="351"/>
        <v>128170316.65728083</v>
      </c>
      <c r="BV108" s="44">
        <f t="shared" si="351"/>
        <v>128185316.65728083</v>
      </c>
      <c r="BW108" s="44">
        <f t="shared" si="351"/>
        <v>128183816.65728083</v>
      </c>
      <c r="BX108" s="44">
        <f t="shared" si="351"/>
        <v>128170316.65728083</v>
      </c>
      <c r="BY108" s="44">
        <f t="shared" si="351"/>
        <v>128185316.65728083</v>
      </c>
      <c r="BZ108" s="44">
        <f t="shared" si="351"/>
        <v>128183816.65728083</v>
      </c>
      <c r="CA108" s="44">
        <f t="shared" si="351"/>
        <v>128165316.65728083</v>
      </c>
      <c r="CB108" s="44">
        <f t="shared" si="351"/>
        <v>128185316.65728083</v>
      </c>
      <c r="CC108" s="44">
        <f t="shared" si="351"/>
        <v>128183816.65728083</v>
      </c>
      <c r="CD108" s="49">
        <f t="shared" si="351"/>
        <v>1538141799.8873706</v>
      </c>
      <c r="CE108" s="44">
        <f t="shared" si="351"/>
        <v>128144165.84095083</v>
      </c>
      <c r="CF108" s="44">
        <f t="shared" si="351"/>
        <v>128170165.84095083</v>
      </c>
      <c r="CG108" s="44">
        <f t="shared" si="351"/>
        <v>128168665.84095083</v>
      </c>
      <c r="CH108" s="44">
        <f t="shared" si="351"/>
        <v>128155165.84095083</v>
      </c>
      <c r="CI108" s="44">
        <f t="shared" si="351"/>
        <v>128170165.84095083</v>
      </c>
      <c r="CJ108" s="44">
        <f t="shared" si="351"/>
        <v>128168665.84095083</v>
      </c>
      <c r="CK108" s="44">
        <f t="shared" si="351"/>
        <v>128155165.84095083</v>
      </c>
      <c r="CL108" s="44">
        <f t="shared" si="351"/>
        <v>128170165.84095083</v>
      </c>
      <c r="CM108" s="44">
        <f t="shared" si="351"/>
        <v>128168665.84095083</v>
      </c>
      <c r="CN108" s="44">
        <f t="shared" si="351"/>
        <v>128150165.84095083</v>
      </c>
      <c r="CO108" s="44">
        <f t="shared" si="351"/>
        <v>128170165.84095083</v>
      </c>
      <c r="CP108" s="39">
        <f t="shared" si="351"/>
        <v>128168665.84095083</v>
      </c>
      <c r="CQ108" s="44">
        <f t="shared" si="351"/>
        <v>1537959990.0914104</v>
      </c>
      <c r="CR108" s="95"/>
      <c r="CS108" s="95"/>
      <c r="CT108" s="95"/>
      <c r="CU108" s="95"/>
      <c r="CV108" s="95"/>
      <c r="CW108" s="95"/>
      <c r="CX108" s="95"/>
      <c r="CY108" s="95"/>
      <c r="CZ108" s="95"/>
      <c r="DA108" s="95"/>
      <c r="DB108" s="95"/>
      <c r="DC108" s="95"/>
      <c r="DD108" s="95"/>
      <c r="DE108" s="95"/>
      <c r="DF108" s="95"/>
      <c r="DG108" s="95"/>
      <c r="DH108" s="95"/>
      <c r="DI108" s="95"/>
      <c r="DJ108" s="95"/>
      <c r="DK108" s="95"/>
    </row>
    <row r="109" spans="1:115" ht="14.25" customHeight="1" x14ac:dyDescent="0.4">
      <c r="A109" s="94"/>
      <c r="B109" s="24" t="s">
        <v>125</v>
      </c>
      <c r="C109" s="86">
        <f t="shared" si="349"/>
        <v>7478178238.1367998</v>
      </c>
      <c r="D109" s="44"/>
      <c r="E109" s="44">
        <f t="shared" ref="E109:AJ109" si="352">E48+E106</f>
        <v>191974117.58333334</v>
      </c>
      <c r="F109" s="44">
        <f t="shared" si="352"/>
        <v>-2958153.4166666665</v>
      </c>
      <c r="G109" s="44">
        <f t="shared" si="352"/>
        <v>151157364.08333334</v>
      </c>
      <c r="H109" s="44">
        <f t="shared" si="352"/>
        <v>16573767.883333333</v>
      </c>
      <c r="I109" s="44">
        <f t="shared" si="352"/>
        <v>-11222371.800666671</v>
      </c>
      <c r="J109" s="44">
        <f t="shared" si="352"/>
        <v>-11064354.066666666</v>
      </c>
      <c r="K109" s="44">
        <f t="shared" si="352"/>
        <v>11601362.620000001</v>
      </c>
      <c r="L109" s="44">
        <f t="shared" si="352"/>
        <v>-14355806.916556049</v>
      </c>
      <c r="M109" s="44">
        <f t="shared" si="352"/>
        <v>-18442188.236556049</v>
      </c>
      <c r="N109" s="44">
        <f t="shared" si="352"/>
        <v>-20117556.931390122</v>
      </c>
      <c r="O109" s="44">
        <f t="shared" si="352"/>
        <v>-27121606.774723452</v>
      </c>
      <c r="P109" s="44">
        <f t="shared" si="352"/>
        <v>-25883555.806113571</v>
      </c>
      <c r="Q109" s="49">
        <f t="shared" si="352"/>
        <v>240151018.22066069</v>
      </c>
      <c r="R109" s="44">
        <f t="shared" si="352"/>
        <v>-47150463.402780235</v>
      </c>
      <c r="S109" s="44">
        <f t="shared" si="352"/>
        <v>-43396156.826113574</v>
      </c>
      <c r="T109" s="44">
        <f t="shared" si="352"/>
        <v>-39128602.710837021</v>
      </c>
      <c r="U109" s="44">
        <f t="shared" si="352"/>
        <v>-31984979.75556048</v>
      </c>
      <c r="V109" s="44">
        <f t="shared" si="352"/>
        <v>-25896305.140283935</v>
      </c>
      <c r="W109" s="44">
        <f t="shared" si="352"/>
        <v>-18761432.185007386</v>
      </c>
      <c r="X109" s="44">
        <f t="shared" si="352"/>
        <v>-12693507.569730841</v>
      </c>
      <c r="Y109" s="44">
        <f t="shared" si="352"/>
        <v>-5533634.6144542918</v>
      </c>
      <c r="Z109" s="44">
        <f t="shared" si="352"/>
        <v>541290.00082226098</v>
      </c>
      <c r="AA109" s="44">
        <f t="shared" si="352"/>
        <v>7677662.9560988173</v>
      </c>
      <c r="AB109" s="44">
        <f t="shared" si="352"/>
        <v>13769087.571375355</v>
      </c>
      <c r="AC109" s="44">
        <f t="shared" si="352"/>
        <v>20917460.526651904</v>
      </c>
      <c r="AD109" s="49">
        <f t="shared" si="352"/>
        <v>-181639581.14981949</v>
      </c>
      <c r="AE109" s="44">
        <f t="shared" si="352"/>
        <v>27537065.173795126</v>
      </c>
      <c r="AF109" s="44">
        <f t="shared" si="352"/>
        <v>82703501.029071674</v>
      </c>
      <c r="AG109" s="44">
        <f t="shared" si="352"/>
        <v>78007544.134348214</v>
      </c>
      <c r="AH109" s="44">
        <f t="shared" si="352"/>
        <v>92093378.059624761</v>
      </c>
      <c r="AI109" s="44">
        <f t="shared" si="352"/>
        <v>107312906.45490132</v>
      </c>
      <c r="AJ109" s="44">
        <f t="shared" si="352"/>
        <v>116804565.10017788</v>
      </c>
      <c r="AK109" s="44">
        <f t="shared" ref="AK109:BP109" si="353">AK48+AK106</f>
        <v>122832143.67545441</v>
      </c>
      <c r="AL109" s="44">
        <f t="shared" si="353"/>
        <v>126428480.3340643</v>
      </c>
      <c r="AM109" s="44">
        <f t="shared" si="353"/>
        <v>128236600.8340643</v>
      </c>
      <c r="AN109" s="44">
        <f t="shared" si="353"/>
        <v>128218100.8340643</v>
      </c>
      <c r="AO109" s="44">
        <f t="shared" si="353"/>
        <v>128238100.8340643</v>
      </c>
      <c r="AP109" s="44">
        <f t="shared" si="353"/>
        <v>128236600.8340643</v>
      </c>
      <c r="AQ109" s="49">
        <f t="shared" si="353"/>
        <v>1266648987.2976949</v>
      </c>
      <c r="AR109" s="44">
        <f t="shared" si="353"/>
        <v>128194321.38480565</v>
      </c>
      <c r="AS109" s="44">
        <f t="shared" si="353"/>
        <v>128220321.38480565</v>
      </c>
      <c r="AT109" s="44">
        <f t="shared" si="353"/>
        <v>128218821.38480565</v>
      </c>
      <c r="AU109" s="44">
        <f t="shared" si="353"/>
        <v>128205321.38480565</v>
      </c>
      <c r="AV109" s="44">
        <f t="shared" si="353"/>
        <v>128220321.38480565</v>
      </c>
      <c r="AW109" s="44">
        <f t="shared" si="353"/>
        <v>128218821.38480565</v>
      </c>
      <c r="AX109" s="44">
        <f t="shared" si="353"/>
        <v>128205321.38480565</v>
      </c>
      <c r="AY109" s="44">
        <f t="shared" si="353"/>
        <v>128220321.38480565</v>
      </c>
      <c r="AZ109" s="44">
        <f t="shared" si="353"/>
        <v>128218821.38480565</v>
      </c>
      <c r="BA109" s="44">
        <f t="shared" si="353"/>
        <v>128200321.38480565</v>
      </c>
      <c r="BB109" s="44">
        <f t="shared" si="353"/>
        <v>128220321.38480565</v>
      </c>
      <c r="BC109" s="44">
        <f t="shared" si="353"/>
        <v>128218821.38480565</v>
      </c>
      <c r="BD109" s="49">
        <f t="shared" si="353"/>
        <v>1538561856.6176677</v>
      </c>
      <c r="BE109" s="44">
        <f t="shared" si="353"/>
        <v>128179010.75757663</v>
      </c>
      <c r="BF109" s="44">
        <f t="shared" si="353"/>
        <v>128205010.75757663</v>
      </c>
      <c r="BG109" s="44">
        <f t="shared" si="353"/>
        <v>128202753.63757662</v>
      </c>
      <c r="BH109" s="44">
        <f t="shared" si="353"/>
        <v>128189253.63757662</v>
      </c>
      <c r="BI109" s="44">
        <f t="shared" si="353"/>
        <v>128203466.23277663</v>
      </c>
      <c r="BJ109" s="44">
        <f t="shared" si="353"/>
        <v>128201966.23277663</v>
      </c>
      <c r="BK109" s="44">
        <f t="shared" si="353"/>
        <v>128187647.33178464</v>
      </c>
      <c r="BL109" s="44">
        <f t="shared" si="353"/>
        <v>128202647.33178464</v>
      </c>
      <c r="BM109" s="44">
        <f t="shared" si="353"/>
        <v>128200295.67475295</v>
      </c>
      <c r="BN109" s="44">
        <f t="shared" si="353"/>
        <v>128181795.67475295</v>
      </c>
      <c r="BO109" s="44">
        <f t="shared" si="353"/>
        <v>128200909.95144001</v>
      </c>
      <c r="BP109" s="44">
        <f t="shared" si="353"/>
        <v>128199409.95144001</v>
      </c>
      <c r="BQ109" s="49">
        <f t="shared" ref="BQ109:CQ109" si="354">BQ48+BQ106</f>
        <v>1538354167.1718154</v>
      </c>
      <c r="BR109" s="44">
        <f t="shared" si="354"/>
        <v>128159316.65728083</v>
      </c>
      <c r="BS109" s="44">
        <f t="shared" si="354"/>
        <v>128185316.65728083</v>
      </c>
      <c r="BT109" s="44">
        <f t="shared" si="354"/>
        <v>128183816.65728083</v>
      </c>
      <c r="BU109" s="44">
        <f t="shared" si="354"/>
        <v>128170316.65728083</v>
      </c>
      <c r="BV109" s="44">
        <f t="shared" si="354"/>
        <v>128185316.65728083</v>
      </c>
      <c r="BW109" s="44">
        <f t="shared" si="354"/>
        <v>128183816.65728083</v>
      </c>
      <c r="BX109" s="44">
        <f t="shared" si="354"/>
        <v>128170316.65728083</v>
      </c>
      <c r="BY109" s="44">
        <f t="shared" si="354"/>
        <v>128185316.65728083</v>
      </c>
      <c r="BZ109" s="44">
        <f t="shared" si="354"/>
        <v>128183816.65728083</v>
      </c>
      <c r="CA109" s="44">
        <f t="shared" si="354"/>
        <v>128165316.65728083</v>
      </c>
      <c r="CB109" s="44">
        <f t="shared" si="354"/>
        <v>128185316.65728083</v>
      </c>
      <c r="CC109" s="44">
        <f t="shared" si="354"/>
        <v>128183816.65728083</v>
      </c>
      <c r="CD109" s="49">
        <f t="shared" si="354"/>
        <v>1538141799.8873706</v>
      </c>
      <c r="CE109" s="44">
        <f t="shared" si="354"/>
        <v>128144165.84095083</v>
      </c>
      <c r="CF109" s="44">
        <f t="shared" si="354"/>
        <v>128170165.84095083</v>
      </c>
      <c r="CG109" s="44">
        <f t="shared" si="354"/>
        <v>128168665.84095083</v>
      </c>
      <c r="CH109" s="44">
        <f t="shared" si="354"/>
        <v>128155165.84095083</v>
      </c>
      <c r="CI109" s="44">
        <f t="shared" si="354"/>
        <v>128170165.84095083</v>
      </c>
      <c r="CJ109" s="44">
        <f t="shared" si="354"/>
        <v>128168665.84095083</v>
      </c>
      <c r="CK109" s="44">
        <f t="shared" si="354"/>
        <v>128155165.84095083</v>
      </c>
      <c r="CL109" s="44">
        <f t="shared" si="354"/>
        <v>128170165.84095083</v>
      </c>
      <c r="CM109" s="44">
        <f t="shared" si="354"/>
        <v>128168665.84095083</v>
      </c>
      <c r="CN109" s="44">
        <f t="shared" si="354"/>
        <v>128150165.84095083</v>
      </c>
      <c r="CO109" s="44">
        <f t="shared" si="354"/>
        <v>128170165.84095083</v>
      </c>
      <c r="CP109" s="39">
        <f t="shared" si="354"/>
        <v>128168665.84095083</v>
      </c>
      <c r="CQ109" s="44">
        <f t="shared" si="354"/>
        <v>1537959990.0914104</v>
      </c>
      <c r="CR109" s="95"/>
      <c r="CS109" s="95"/>
      <c r="CT109" s="95"/>
      <c r="CU109" s="95"/>
      <c r="CV109" s="95"/>
      <c r="CW109" s="95"/>
      <c r="CX109" s="95"/>
      <c r="CY109" s="95"/>
      <c r="CZ109" s="95"/>
      <c r="DA109" s="95"/>
      <c r="DB109" s="95"/>
      <c r="DC109" s="95"/>
      <c r="DD109" s="95"/>
      <c r="DE109" s="95"/>
      <c r="DF109" s="95"/>
      <c r="DG109" s="95"/>
      <c r="DH109" s="95"/>
      <c r="DI109" s="95"/>
      <c r="DJ109" s="95"/>
      <c r="DK109" s="95"/>
    </row>
    <row r="110" spans="1:115" ht="14.25" customHeight="1" x14ac:dyDescent="0.4">
      <c r="A110" s="94"/>
      <c r="B110" s="24" t="s">
        <v>641</v>
      </c>
      <c r="C110" s="86"/>
      <c r="D110" s="95"/>
      <c r="E110" s="44">
        <f t="shared" ref="E110:P110" si="355">D181+E109</f>
        <v>191974117.58333334</v>
      </c>
      <c r="F110" s="44">
        <f t="shared" si="355"/>
        <v>189015964.16666669</v>
      </c>
      <c r="G110" s="44">
        <f t="shared" si="355"/>
        <v>340173328.25</v>
      </c>
      <c r="H110" s="44">
        <f t="shared" si="355"/>
        <v>356747096.13333333</v>
      </c>
      <c r="I110" s="44">
        <f t="shared" si="355"/>
        <v>345524724.33266664</v>
      </c>
      <c r="J110" s="44">
        <f t="shared" si="355"/>
        <v>334460370.26599997</v>
      </c>
      <c r="K110" s="44">
        <f t="shared" si="355"/>
        <v>346061732.88599998</v>
      </c>
      <c r="L110" s="44">
        <f t="shared" si="355"/>
        <v>331705925.96944392</v>
      </c>
      <c r="M110" s="44">
        <f t="shared" si="355"/>
        <v>313263737.73288786</v>
      </c>
      <c r="N110" s="44">
        <f t="shared" si="355"/>
        <v>293146180.80149776</v>
      </c>
      <c r="O110" s="44">
        <f t="shared" si="355"/>
        <v>266024574.02677432</v>
      </c>
      <c r="P110" s="44">
        <f t="shared" si="355"/>
        <v>240141018.22066075</v>
      </c>
      <c r="Q110" s="49">
        <f>P110</f>
        <v>240141018.22066075</v>
      </c>
      <c r="R110" s="44">
        <f t="shared" ref="R110:AC110" si="356">Q181+R109</f>
        <v>192990554.81788051</v>
      </c>
      <c r="S110" s="44">
        <f t="shared" si="356"/>
        <v>149594397.99176693</v>
      </c>
      <c r="T110" s="44">
        <f t="shared" si="356"/>
        <v>110465795.28092991</v>
      </c>
      <c r="U110" s="44">
        <f t="shared" si="356"/>
        <v>78480815.525369436</v>
      </c>
      <c r="V110" s="44">
        <f t="shared" si="356"/>
        <v>52584510.385085501</v>
      </c>
      <c r="W110" s="44">
        <f t="shared" si="356"/>
        <v>33823078.200078115</v>
      </c>
      <c r="X110" s="44">
        <f t="shared" si="356"/>
        <v>21129570.630347274</v>
      </c>
      <c r="Y110" s="44">
        <f t="shared" si="356"/>
        <v>15595936.015892982</v>
      </c>
      <c r="Z110" s="44">
        <f t="shared" si="356"/>
        <v>16137226.016715243</v>
      </c>
      <c r="AA110" s="44">
        <f t="shared" si="356"/>
        <v>23814888.972814061</v>
      </c>
      <c r="AB110" s="44">
        <f t="shared" si="356"/>
        <v>37583976.544189416</v>
      </c>
      <c r="AC110" s="44">
        <f t="shared" si="356"/>
        <v>58501437.07084132</v>
      </c>
      <c r="AD110" s="49">
        <f>AC110</f>
        <v>58501437.07084132</v>
      </c>
      <c r="AE110" s="44">
        <f t="shared" ref="AE110:AR110" si="357">AD181+AE109</f>
        <v>86038502.244636446</v>
      </c>
      <c r="AF110" s="44">
        <f t="shared" si="357"/>
        <v>108203501.02907167</v>
      </c>
      <c r="AG110" s="44">
        <f t="shared" si="357"/>
        <v>103507544.13434821</v>
      </c>
      <c r="AH110" s="44">
        <f t="shared" si="357"/>
        <v>117593378.05962476</v>
      </c>
      <c r="AI110" s="44">
        <f t="shared" si="357"/>
        <v>132812906.45490132</v>
      </c>
      <c r="AJ110" s="44">
        <f t="shared" si="357"/>
        <v>142304565.10017788</v>
      </c>
      <c r="AK110" s="44">
        <f t="shared" si="357"/>
        <v>148332143.67545441</v>
      </c>
      <c r="AL110" s="44">
        <f t="shared" si="357"/>
        <v>151928480.3340643</v>
      </c>
      <c r="AM110" s="44">
        <f t="shared" si="357"/>
        <v>153736600.8340643</v>
      </c>
      <c r="AN110" s="44">
        <f t="shared" si="357"/>
        <v>153718100.8340643</v>
      </c>
      <c r="AO110" s="44">
        <f t="shared" si="357"/>
        <v>153738100.8340643</v>
      </c>
      <c r="AP110" s="44">
        <f t="shared" si="357"/>
        <v>153736600.8340643</v>
      </c>
      <c r="AQ110" s="49">
        <f>AP110</f>
        <v>153736600.8340643</v>
      </c>
      <c r="AR110" s="44">
        <f t="shared" si="357"/>
        <v>153694321.38480562</v>
      </c>
      <c r="AS110" s="44">
        <f t="shared" ref="AS110" si="358">AR181+AS109</f>
        <v>194682743.85818797</v>
      </c>
      <c r="AT110" s="44">
        <f t="shared" ref="AT110" si="359">AS181+AT109</f>
        <v>194681243.85818797</v>
      </c>
      <c r="AU110" s="44">
        <f t="shared" ref="AU110" si="360">AT181+AU109</f>
        <v>194667743.85818797</v>
      </c>
      <c r="AV110" s="44">
        <f t="shared" ref="AV110" si="361">AU181+AV109</f>
        <v>194682743.85818797</v>
      </c>
      <c r="AW110" s="44">
        <f t="shared" ref="AW110" si="362">AV181+AW109</f>
        <v>194681243.85818797</v>
      </c>
      <c r="AX110" s="44">
        <f t="shared" ref="AX110" si="363">AW181+AX109</f>
        <v>194667743.85818797</v>
      </c>
      <c r="AY110" s="44">
        <f t="shared" ref="AY110" si="364">AX181+AY109</f>
        <v>194682743.85818797</v>
      </c>
      <c r="AZ110" s="44">
        <f t="shared" ref="AZ110" si="365">AY181+AZ109</f>
        <v>194681243.85818797</v>
      </c>
      <c r="BA110" s="44">
        <f t="shared" ref="BA110" si="366">AZ181+BA109</f>
        <v>194662743.85818797</v>
      </c>
      <c r="BB110" s="44">
        <f t="shared" ref="BB110" si="367">BA181+BB109</f>
        <v>194682743.85818797</v>
      </c>
      <c r="BC110" s="44">
        <f t="shared" ref="BC110" si="368">BB181+BC109</f>
        <v>194681243.85818797</v>
      </c>
      <c r="BD110" s="49">
        <f>BC110</f>
        <v>194681243.85818797</v>
      </c>
      <c r="BE110" s="44">
        <f t="shared" ref="BE110" si="369">BD181+BE109</f>
        <v>194641433.23095894</v>
      </c>
      <c r="BF110" s="44">
        <f t="shared" ref="BF110" si="370">BE181+BF109</f>
        <v>216708659.67061099</v>
      </c>
      <c r="BG110" s="44">
        <f t="shared" ref="BG110" si="371">BF181+BG109</f>
        <v>216706402.55061099</v>
      </c>
      <c r="BH110" s="44">
        <f t="shared" ref="BH110" si="372">BG181+BH109</f>
        <v>216692902.55061099</v>
      </c>
      <c r="BI110" s="44">
        <f t="shared" ref="BI110" si="373">BH181+BI109</f>
        <v>216707115.14581099</v>
      </c>
      <c r="BJ110" s="44">
        <f t="shared" ref="BJ110" si="374">BI181+BJ109</f>
        <v>216705615.14581099</v>
      </c>
      <c r="BK110" s="44">
        <f t="shared" ref="BK110" si="375">BJ181+BK109</f>
        <v>216691296.24481899</v>
      </c>
      <c r="BL110" s="44">
        <f t="shared" ref="BL110" si="376">BK181+BL109</f>
        <v>216706296.24481899</v>
      </c>
      <c r="BM110" s="44">
        <f t="shared" ref="BM110" si="377">BL181+BM109</f>
        <v>216703944.58778733</v>
      </c>
      <c r="BN110" s="44">
        <f t="shared" ref="BN110" si="378">BM181+BN109</f>
        <v>216685444.5877873</v>
      </c>
      <c r="BO110" s="44">
        <f t="shared" ref="BO110" si="379">BN181+BO109</f>
        <v>216704558.86447436</v>
      </c>
      <c r="BP110" s="44">
        <f>BO181+BP109</f>
        <v>216703058.86447436</v>
      </c>
      <c r="BQ110" s="49">
        <f>BP110</f>
        <v>216703058.86447436</v>
      </c>
      <c r="BR110" s="44">
        <f>BQ181+BR109</f>
        <v>216662965.57031518</v>
      </c>
      <c r="BS110" s="44">
        <f>BR181+BS109</f>
        <v>217992223.12532151</v>
      </c>
      <c r="BT110" s="44">
        <f t="shared" ref="BT110" si="380">BS181+BT109</f>
        <v>217990723.12532151</v>
      </c>
      <c r="BU110" s="44">
        <f t="shared" ref="BU110" si="381">BT181+BU109</f>
        <v>217977223.12532151</v>
      </c>
      <c r="BV110" s="44">
        <f t="shared" ref="BV110" si="382">BU181+BV109</f>
        <v>217992223.12532151</v>
      </c>
      <c r="BW110" s="44">
        <f t="shared" ref="BW110" si="383">BV181+BW109</f>
        <v>217990723.12532151</v>
      </c>
      <c r="BX110" s="44">
        <f t="shared" ref="BX110" si="384">BW181+BX109</f>
        <v>217977223.12532151</v>
      </c>
      <c r="BY110" s="44">
        <f t="shared" ref="BY110" si="385">BX181+BY109</f>
        <v>217992223.12532151</v>
      </c>
      <c r="BZ110" s="44">
        <f t="shared" ref="BZ110" si="386">BY181+BZ109</f>
        <v>217990723.12532151</v>
      </c>
      <c r="CA110" s="44">
        <f t="shared" ref="CA110" si="387">BZ181+CA109</f>
        <v>217972223.12532151</v>
      </c>
      <c r="CB110" s="44">
        <f t="shared" ref="CB110" si="388">CA181+CB109</f>
        <v>217992223.12532151</v>
      </c>
      <c r="CC110" s="44">
        <f t="shared" ref="CC110:CE110" si="389">CB181+CC109</f>
        <v>217990723.12532151</v>
      </c>
      <c r="CD110" s="49">
        <f>CC110</f>
        <v>217990723.12532151</v>
      </c>
      <c r="CE110" s="44">
        <f t="shared" si="389"/>
        <v>217951072.30899149</v>
      </c>
      <c r="CF110" s="44">
        <f>CE181+CF109</f>
        <v>198525013.59227711</v>
      </c>
      <c r="CG110" s="44">
        <f t="shared" ref="CG110" si="390">CF181+CG109</f>
        <v>193829046.49398059</v>
      </c>
      <c r="CH110" s="44">
        <f t="shared" ref="CH110" si="391">CG181+CH109</f>
        <v>189085870.89244682</v>
      </c>
      <c r="CI110" s="44">
        <f t="shared" ref="CI110" si="392">CH181+CI109</f>
        <v>184335722.72390151</v>
      </c>
      <c r="CJ110" s="44">
        <f t="shared" ref="CJ110" si="393">CI181+CJ109</f>
        <v>179533335.94409215</v>
      </c>
      <c r="CK110" s="44">
        <f t="shared" ref="CK110" si="394">CJ181+CK109</f>
        <v>174682942.51343423</v>
      </c>
      <c r="CL110" s="44">
        <f t="shared" ref="CL110" si="395">CK181+CL109</f>
        <v>169824772.38204634</v>
      </c>
      <c r="CM110" s="44">
        <f t="shared" ref="CM110" si="396">CL181+CM109</f>
        <v>164913553.47467309</v>
      </c>
      <c r="CN110" s="44">
        <f t="shared" ref="CN110" si="397">CM181+CN109</f>
        <v>159948511.67549449</v>
      </c>
      <c r="CO110" s="44">
        <f t="shared" ref="CO110" si="398">CN181+CO109</f>
        <v>154984870.8128221</v>
      </c>
      <c r="CP110" s="39">
        <f t="shared" ref="CP110" si="399">CO181+CP109</f>
        <v>149962352.64367962</v>
      </c>
      <c r="CQ110" s="44"/>
      <c r="CR110" s="95"/>
      <c r="CS110" s="95"/>
      <c r="CT110" s="95"/>
      <c r="CU110" s="95"/>
      <c r="CV110" s="95"/>
      <c r="CW110" s="95"/>
      <c r="CX110" s="95"/>
      <c r="CY110" s="95"/>
      <c r="CZ110" s="95"/>
      <c r="DA110" s="95"/>
      <c r="DB110" s="95"/>
      <c r="DC110" s="95"/>
      <c r="DD110" s="95"/>
      <c r="DE110" s="95"/>
      <c r="DF110" s="95"/>
      <c r="DG110" s="95"/>
      <c r="DH110" s="95"/>
      <c r="DI110" s="95"/>
      <c r="DJ110" s="95"/>
      <c r="DK110" s="95"/>
    </row>
    <row r="111" spans="1:115" ht="14.25" customHeight="1" thickBot="1" x14ac:dyDescent="0.45">
      <c r="A111" s="81"/>
      <c r="B111" s="82"/>
      <c r="C111" s="83" t="s">
        <v>59</v>
      </c>
      <c r="D111" s="83" t="s">
        <v>60</v>
      </c>
      <c r="E111" s="83">
        <v>1</v>
      </c>
      <c r="F111" s="83">
        <v>2</v>
      </c>
      <c r="G111" s="83">
        <v>3</v>
      </c>
      <c r="H111" s="83">
        <v>4</v>
      </c>
      <c r="I111" s="83">
        <v>5</v>
      </c>
      <c r="J111" s="83">
        <v>6</v>
      </c>
      <c r="K111" s="83">
        <v>7</v>
      </c>
      <c r="L111" s="83">
        <v>8</v>
      </c>
      <c r="M111" s="83">
        <v>9</v>
      </c>
      <c r="N111" s="83">
        <v>10</v>
      </c>
      <c r="O111" s="83">
        <v>11</v>
      </c>
      <c r="P111" s="83">
        <v>12</v>
      </c>
      <c r="Q111" s="83" t="s">
        <v>61</v>
      </c>
      <c r="R111" s="83">
        <v>13</v>
      </c>
      <c r="S111" s="83">
        <v>14</v>
      </c>
      <c r="T111" s="83">
        <v>15</v>
      </c>
      <c r="U111" s="83">
        <v>16</v>
      </c>
      <c r="V111" s="84">
        <v>17</v>
      </c>
      <c r="W111" s="83">
        <v>18</v>
      </c>
      <c r="X111" s="83">
        <v>19</v>
      </c>
      <c r="Y111" s="83">
        <v>20</v>
      </c>
      <c r="Z111" s="83">
        <v>21</v>
      </c>
      <c r="AA111" s="83">
        <v>22</v>
      </c>
      <c r="AB111" s="83">
        <v>23</v>
      </c>
      <c r="AC111" s="83">
        <v>24</v>
      </c>
      <c r="AD111" s="83" t="s">
        <v>62</v>
      </c>
      <c r="AE111" s="83">
        <v>25</v>
      </c>
      <c r="AF111" s="83">
        <v>26</v>
      </c>
      <c r="AG111" s="83">
        <v>27</v>
      </c>
      <c r="AH111" s="83">
        <v>28</v>
      </c>
      <c r="AI111" s="83">
        <v>29</v>
      </c>
      <c r="AJ111" s="83">
        <v>30</v>
      </c>
      <c r="AK111" s="83">
        <v>31</v>
      </c>
      <c r="AL111" s="83">
        <v>32</v>
      </c>
      <c r="AM111" s="83">
        <v>33</v>
      </c>
      <c r="AN111" s="83">
        <v>34</v>
      </c>
      <c r="AO111" s="83">
        <v>35</v>
      </c>
      <c r="AP111" s="83">
        <v>36</v>
      </c>
      <c r="AQ111" s="83" t="s">
        <v>63</v>
      </c>
      <c r="AR111" s="83">
        <v>37</v>
      </c>
      <c r="AS111" s="83">
        <v>38</v>
      </c>
      <c r="AT111" s="83">
        <v>39</v>
      </c>
      <c r="AU111" s="83">
        <v>40</v>
      </c>
      <c r="AV111" s="83">
        <v>41</v>
      </c>
      <c r="AW111" s="83">
        <v>42</v>
      </c>
      <c r="AX111" s="84">
        <v>43</v>
      </c>
      <c r="AY111" s="84">
        <v>44</v>
      </c>
      <c r="AZ111" s="83">
        <v>45</v>
      </c>
      <c r="BA111" s="83">
        <v>46</v>
      </c>
      <c r="BB111" s="83">
        <v>47</v>
      </c>
      <c r="BC111" s="83">
        <v>48</v>
      </c>
      <c r="BD111" s="83" t="s">
        <v>64</v>
      </c>
      <c r="BE111" s="83">
        <v>49</v>
      </c>
      <c r="BF111" s="83">
        <v>50</v>
      </c>
      <c r="BG111" s="83">
        <v>51</v>
      </c>
      <c r="BH111" s="83">
        <v>52</v>
      </c>
      <c r="BI111" s="83">
        <v>53</v>
      </c>
      <c r="BJ111" s="83">
        <v>54</v>
      </c>
      <c r="BK111" s="83">
        <v>55</v>
      </c>
      <c r="BL111" s="83">
        <v>56</v>
      </c>
      <c r="BM111" s="83">
        <v>57</v>
      </c>
      <c r="BN111" s="83">
        <v>58</v>
      </c>
      <c r="BO111" s="83">
        <v>59</v>
      </c>
      <c r="BP111" s="83">
        <v>60</v>
      </c>
      <c r="BQ111" s="83" t="s">
        <v>65</v>
      </c>
      <c r="BR111" s="83">
        <v>61</v>
      </c>
      <c r="BS111" s="83">
        <v>62</v>
      </c>
      <c r="BT111" s="83">
        <v>63</v>
      </c>
      <c r="BU111" s="83">
        <v>64</v>
      </c>
      <c r="BV111" s="83">
        <v>65</v>
      </c>
      <c r="BW111" s="83">
        <v>66</v>
      </c>
      <c r="BX111" s="83">
        <v>67</v>
      </c>
      <c r="BY111" s="83">
        <v>68</v>
      </c>
      <c r="BZ111" s="83">
        <v>69</v>
      </c>
      <c r="CA111" s="83">
        <v>70</v>
      </c>
      <c r="CB111" s="83">
        <v>71</v>
      </c>
      <c r="CC111" s="83">
        <v>72</v>
      </c>
      <c r="CD111" s="83" t="s">
        <v>66</v>
      </c>
      <c r="CE111" s="83">
        <v>73</v>
      </c>
      <c r="CF111" s="83">
        <v>74</v>
      </c>
      <c r="CG111" s="83">
        <v>75</v>
      </c>
      <c r="CH111" s="83">
        <v>76</v>
      </c>
      <c r="CI111" s="83">
        <v>77</v>
      </c>
      <c r="CJ111" s="83">
        <v>78</v>
      </c>
      <c r="CK111" s="83">
        <v>79</v>
      </c>
      <c r="CL111" s="83">
        <v>80</v>
      </c>
      <c r="CM111" s="83">
        <v>81</v>
      </c>
      <c r="CN111" s="83">
        <v>82</v>
      </c>
      <c r="CO111" s="83">
        <v>83</v>
      </c>
      <c r="CP111" s="168">
        <v>84</v>
      </c>
      <c r="CQ111" s="85" t="s">
        <v>67</v>
      </c>
      <c r="CR111" s="83"/>
      <c r="CS111" s="83"/>
      <c r="CT111" s="83"/>
      <c r="CU111" s="83"/>
      <c r="CV111" s="83"/>
      <c r="CW111" s="83"/>
      <c r="CX111" s="83"/>
      <c r="CY111" s="83"/>
      <c r="CZ111" s="83"/>
      <c r="DA111" s="83"/>
      <c r="DB111" s="83"/>
      <c r="DC111" s="83"/>
      <c r="DD111" s="83"/>
      <c r="DE111" s="84"/>
      <c r="DF111" s="84"/>
      <c r="DG111" s="84"/>
      <c r="DH111" s="84"/>
      <c r="DI111" s="84"/>
      <c r="DJ111" s="84"/>
      <c r="DK111" s="84"/>
    </row>
    <row r="112" spans="1:115" ht="14.25" customHeight="1" x14ac:dyDescent="0.4">
      <c r="A112" s="94"/>
      <c r="B112" s="24"/>
      <c r="C112" s="86"/>
      <c r="D112" s="95"/>
      <c r="E112" s="44"/>
      <c r="F112" s="44"/>
      <c r="G112" s="44"/>
      <c r="H112" s="44"/>
      <c r="I112" s="44"/>
      <c r="J112" s="44"/>
      <c r="K112" s="44"/>
      <c r="L112" s="44"/>
      <c r="M112" s="44"/>
      <c r="N112" s="44"/>
      <c r="O112" s="44"/>
      <c r="P112" s="44"/>
      <c r="Q112" s="49"/>
      <c r="R112" s="44"/>
      <c r="S112" s="44"/>
      <c r="T112" s="44"/>
      <c r="U112" s="44"/>
      <c r="V112" s="44"/>
      <c r="W112" s="44"/>
      <c r="X112" s="44"/>
      <c r="Y112" s="44"/>
      <c r="Z112" s="44"/>
      <c r="AA112" s="44"/>
      <c r="AB112" s="44"/>
      <c r="AC112" s="44"/>
      <c r="AD112" s="49"/>
      <c r="AE112" s="44"/>
      <c r="AF112" s="44"/>
      <c r="AG112" s="44"/>
      <c r="AH112" s="44"/>
      <c r="AI112" s="44"/>
      <c r="AJ112" s="44"/>
      <c r="AK112" s="44"/>
      <c r="AL112" s="44"/>
      <c r="AM112" s="44"/>
      <c r="AN112" s="44"/>
      <c r="AO112" s="44"/>
      <c r="AP112" s="44"/>
      <c r="AQ112" s="49"/>
      <c r="AR112" s="44"/>
      <c r="AS112" s="44"/>
      <c r="AT112" s="44"/>
      <c r="AU112" s="44"/>
      <c r="AV112" s="44"/>
      <c r="AW112" s="44"/>
      <c r="AX112" s="44"/>
      <c r="AY112" s="44"/>
      <c r="AZ112" s="44"/>
      <c r="BA112" s="44"/>
      <c r="BB112" s="44"/>
      <c r="BC112" s="44"/>
      <c r="BD112" s="49"/>
      <c r="BE112" s="44"/>
      <c r="BF112" s="44"/>
      <c r="BG112" s="44"/>
      <c r="BH112" s="44"/>
      <c r="BI112" s="44"/>
      <c r="BJ112" s="44"/>
      <c r="BK112" s="44"/>
      <c r="BL112" s="44"/>
      <c r="BM112" s="44"/>
      <c r="BN112" s="44"/>
      <c r="BO112" s="44"/>
      <c r="BP112" s="44"/>
      <c r="BQ112" s="49"/>
      <c r="BR112" s="44"/>
      <c r="BS112" s="44"/>
      <c r="BT112" s="44"/>
      <c r="BU112" s="44"/>
      <c r="BV112" s="44"/>
      <c r="BW112" s="44"/>
      <c r="BX112" s="44"/>
      <c r="BY112" s="44"/>
      <c r="BZ112" s="44"/>
      <c r="CA112" s="44"/>
      <c r="CB112" s="44"/>
      <c r="CC112" s="44"/>
      <c r="CD112" s="49"/>
      <c r="CE112" s="44"/>
      <c r="CF112" s="44"/>
      <c r="CG112" s="44"/>
      <c r="CH112" s="44"/>
      <c r="CI112" s="44"/>
      <c r="CJ112" s="44"/>
      <c r="CK112" s="44"/>
      <c r="CL112" s="44"/>
      <c r="CM112" s="44"/>
      <c r="CN112" s="44"/>
      <c r="CO112" s="44"/>
      <c r="CP112" s="39"/>
      <c r="CQ112" s="44"/>
      <c r="CR112" s="95"/>
      <c r="CS112" s="95"/>
      <c r="CT112" s="95"/>
      <c r="CU112" s="95"/>
      <c r="CV112" s="95"/>
      <c r="CW112" s="95"/>
      <c r="CX112" s="95"/>
      <c r="CY112" s="95"/>
      <c r="CZ112" s="95"/>
      <c r="DA112" s="95"/>
      <c r="DB112" s="95"/>
      <c r="DC112" s="95"/>
      <c r="DD112" s="95"/>
      <c r="DE112" s="95"/>
      <c r="DF112" s="95"/>
      <c r="DG112" s="95"/>
      <c r="DH112" s="95"/>
      <c r="DI112" s="95"/>
      <c r="DJ112" s="95"/>
      <c r="DK112" s="95"/>
    </row>
    <row r="113" spans="1:115" ht="13.5" customHeight="1" x14ac:dyDescent="0.4">
      <c r="A113" s="94"/>
      <c r="B113" s="95"/>
      <c r="C113" s="86"/>
      <c r="D113" s="87"/>
      <c r="E113" s="87"/>
      <c r="F113" s="95"/>
      <c r="G113" s="95"/>
      <c r="H113" s="87"/>
      <c r="I113" s="87"/>
      <c r="J113" s="87"/>
      <c r="K113" s="87"/>
      <c r="L113" s="87"/>
      <c r="M113" s="87"/>
      <c r="N113" s="87"/>
      <c r="O113" s="87"/>
      <c r="P113" s="87"/>
      <c r="Q113" s="89"/>
      <c r="R113" s="87"/>
      <c r="S113" s="87"/>
      <c r="T113" s="87"/>
      <c r="U113" s="87"/>
      <c r="V113" s="87"/>
      <c r="W113" s="87"/>
      <c r="X113" s="87"/>
      <c r="Y113" s="87"/>
      <c r="Z113" s="87"/>
      <c r="AA113" s="87"/>
      <c r="AB113" s="87"/>
      <c r="AC113" s="87"/>
      <c r="AD113" s="89"/>
      <c r="AE113" s="87"/>
      <c r="AF113" s="87"/>
      <c r="AG113" s="87"/>
      <c r="AH113" s="87"/>
      <c r="AI113" s="87"/>
      <c r="AJ113" s="87"/>
      <c r="AK113" s="87"/>
      <c r="AL113" s="87"/>
      <c r="AM113" s="87"/>
      <c r="AN113" s="87"/>
      <c r="AO113" s="95"/>
      <c r="AP113" s="95"/>
      <c r="AQ113" s="89"/>
      <c r="AR113" s="95"/>
      <c r="AS113" s="95"/>
      <c r="AT113" s="95"/>
      <c r="AU113" s="95"/>
      <c r="AV113" s="95"/>
      <c r="AW113" s="87"/>
      <c r="AX113" s="95"/>
      <c r="AY113" s="87"/>
      <c r="AZ113" s="87"/>
      <c r="BA113" s="87"/>
      <c r="BB113" s="87"/>
      <c r="BC113" s="87"/>
      <c r="BD113" s="89"/>
      <c r="BE113" s="87"/>
      <c r="BF113" s="87"/>
      <c r="BG113" s="87"/>
      <c r="BH113" s="87"/>
      <c r="BI113" s="87"/>
      <c r="BJ113" s="87"/>
      <c r="BK113" s="87"/>
      <c r="BL113" s="87"/>
      <c r="BM113" s="87"/>
      <c r="BN113" s="87"/>
      <c r="BO113" s="87"/>
      <c r="BP113" s="87"/>
      <c r="BQ113" s="89"/>
      <c r="BR113" s="87"/>
      <c r="BS113" s="87"/>
      <c r="BT113" s="87"/>
      <c r="BU113" s="87"/>
      <c r="BV113" s="87"/>
      <c r="BW113" s="87"/>
      <c r="BX113" s="87"/>
      <c r="BY113" s="87"/>
      <c r="BZ113" s="87"/>
      <c r="CA113" s="87"/>
      <c r="CB113" s="87"/>
      <c r="CC113" s="87"/>
      <c r="CD113" s="89"/>
      <c r="CE113" s="87"/>
      <c r="CF113" s="87"/>
      <c r="CG113" s="87"/>
      <c r="CH113" s="87"/>
      <c r="CI113" s="87"/>
      <c r="CJ113" s="87"/>
      <c r="CK113" s="87"/>
      <c r="CL113" s="87"/>
      <c r="CM113" s="87"/>
      <c r="CN113" s="87"/>
      <c r="CO113" s="87"/>
      <c r="CP113" s="38"/>
      <c r="CQ113" s="86"/>
      <c r="CR113" s="95"/>
      <c r="CS113" s="95"/>
      <c r="CT113" s="95"/>
      <c r="CU113" s="95"/>
      <c r="CV113" s="95"/>
      <c r="CW113" s="95"/>
      <c r="CX113" s="95"/>
      <c r="CY113" s="95"/>
      <c r="CZ113" s="95"/>
      <c r="DA113" s="95"/>
      <c r="DB113" s="95"/>
      <c r="DC113" s="95"/>
      <c r="DD113" s="95"/>
      <c r="DE113" s="95"/>
      <c r="DF113" s="95"/>
      <c r="DG113" s="95"/>
      <c r="DH113" s="95"/>
      <c r="DI113" s="95"/>
      <c r="DJ113" s="95"/>
      <c r="DK113" s="95"/>
    </row>
    <row r="114" spans="1:115" ht="14.25" customHeight="1" thickBot="1" x14ac:dyDescent="0.45">
      <c r="A114" s="100">
        <v>16</v>
      </c>
      <c r="B114" s="429" t="s">
        <v>573</v>
      </c>
      <c r="C114" s="92">
        <f>SUM(E114:CQ114)-Q114-AD114-AQ114-BD114-BQ114-CD114-CQ114-DD114</f>
        <v>-353048085.50724632</v>
      </c>
      <c r="D114" s="93"/>
      <c r="E114" s="93">
        <f>SUM(E119:E161)</f>
        <v>0</v>
      </c>
      <c r="F114" s="93">
        <f t="shared" ref="F114:AD114" si="400">SUM(F115:F162)</f>
        <v>0</v>
      </c>
      <c r="G114" s="93">
        <f t="shared" si="400"/>
        <v>0</v>
      </c>
      <c r="H114" s="93">
        <f t="shared" si="400"/>
        <v>0</v>
      </c>
      <c r="I114" s="93">
        <f t="shared" si="400"/>
        <v>0</v>
      </c>
      <c r="J114" s="93">
        <f t="shared" si="400"/>
        <v>0</v>
      </c>
      <c r="K114" s="93">
        <f t="shared" si="400"/>
        <v>0</v>
      </c>
      <c r="L114" s="93">
        <f t="shared" si="400"/>
        <v>0</v>
      </c>
      <c r="M114" s="93">
        <f t="shared" si="400"/>
        <v>0</v>
      </c>
      <c r="N114" s="93">
        <f t="shared" si="400"/>
        <v>0</v>
      </c>
      <c r="O114" s="93">
        <f t="shared" si="400"/>
        <v>0</v>
      </c>
      <c r="P114" s="93">
        <f t="shared" si="400"/>
        <v>0</v>
      </c>
      <c r="Q114" s="113">
        <f t="shared" si="400"/>
        <v>0</v>
      </c>
      <c r="R114" s="93">
        <f t="shared" si="400"/>
        <v>0</v>
      </c>
      <c r="S114" s="93">
        <f t="shared" si="400"/>
        <v>0</v>
      </c>
      <c r="T114" s="93">
        <f t="shared" si="400"/>
        <v>0</v>
      </c>
      <c r="U114" s="93">
        <f t="shared" si="400"/>
        <v>0</v>
      </c>
      <c r="V114" s="93">
        <f t="shared" si="400"/>
        <v>0</v>
      </c>
      <c r="W114" s="93">
        <f t="shared" si="400"/>
        <v>0</v>
      </c>
      <c r="X114" s="93">
        <f t="shared" si="400"/>
        <v>0</v>
      </c>
      <c r="Y114" s="93">
        <f t="shared" si="400"/>
        <v>0</v>
      </c>
      <c r="Z114" s="93">
        <f t="shared" si="400"/>
        <v>0</v>
      </c>
      <c r="AA114" s="93">
        <f t="shared" si="400"/>
        <v>0</v>
      </c>
      <c r="AB114" s="93">
        <f t="shared" si="400"/>
        <v>0</v>
      </c>
      <c r="AC114" s="93">
        <f t="shared" si="400"/>
        <v>0</v>
      </c>
      <c r="AD114" s="113">
        <f t="shared" si="400"/>
        <v>0</v>
      </c>
      <c r="AE114" s="93">
        <f>'Sukuk Invest. &amp; Secured Notes'!Z13</f>
        <v>-23400000</v>
      </c>
      <c r="AF114" s="93">
        <f t="shared" ref="AF114:CO114" si="401">SUM(AF115:AF162)</f>
        <v>-2594794.4032942513</v>
      </c>
      <c r="AG114" s="93">
        <f t="shared" si="401"/>
        <v>-2594794.4032942513</v>
      </c>
      <c r="AH114" s="93">
        <f t="shared" si="401"/>
        <v>-27689588.806588501</v>
      </c>
      <c r="AI114" s="93">
        <f t="shared" si="401"/>
        <v>-5189588.8065885026</v>
      </c>
      <c r="AJ114" s="93">
        <f t="shared" si="401"/>
        <v>-5189588.8065885026</v>
      </c>
      <c r="AK114" s="93">
        <f t="shared" si="401"/>
        <v>-5189588.8065885026</v>
      </c>
      <c r="AL114" s="93">
        <f t="shared" si="401"/>
        <v>-5189588.8065885026</v>
      </c>
      <c r="AM114" s="93">
        <f t="shared" si="401"/>
        <v>-5189588.8065885026</v>
      </c>
      <c r="AN114" s="93">
        <f t="shared" si="401"/>
        <v>-5189588.8065885026</v>
      </c>
      <c r="AO114" s="93">
        <f t="shared" si="401"/>
        <v>-5189588.8065885026</v>
      </c>
      <c r="AP114" s="93">
        <f t="shared" si="401"/>
        <v>-5189588.8065885026</v>
      </c>
      <c r="AQ114" s="616">
        <f t="shared" si="401"/>
        <v>-71801093.662590757</v>
      </c>
      <c r="AR114" s="93">
        <f t="shared" si="401"/>
        <v>-5189588.8065885026</v>
      </c>
      <c r="AS114" s="93">
        <f t="shared" si="401"/>
        <v>-5189588.8065885026</v>
      </c>
      <c r="AT114" s="93">
        <f t="shared" si="401"/>
        <v>-5189588.8065885026</v>
      </c>
      <c r="AU114" s="93">
        <f t="shared" si="401"/>
        <v>-5189588.8065885026</v>
      </c>
      <c r="AV114" s="93">
        <f t="shared" si="401"/>
        <v>-5189588.8065885026</v>
      </c>
      <c r="AW114" s="93">
        <f t="shared" si="401"/>
        <v>-5189588.8065885026</v>
      </c>
      <c r="AX114" s="93">
        <f t="shared" si="401"/>
        <v>-5189588.8065885026</v>
      </c>
      <c r="AY114" s="93">
        <f t="shared" si="401"/>
        <v>-5189588.8065885026</v>
      </c>
      <c r="AZ114" s="93">
        <f t="shared" si="401"/>
        <v>-5189588.8065885026</v>
      </c>
      <c r="BA114" s="93">
        <f t="shared" si="401"/>
        <v>-5189588.8065885026</v>
      </c>
      <c r="BB114" s="93">
        <f t="shared" si="401"/>
        <v>-5189588.8065885026</v>
      </c>
      <c r="BC114" s="93">
        <f t="shared" si="401"/>
        <v>-5189588.8065885026</v>
      </c>
      <c r="BD114" s="113">
        <f t="shared" si="401"/>
        <v>-62275065.679062031</v>
      </c>
      <c r="BE114" s="93">
        <f t="shared" si="401"/>
        <v>-5189588.8065885026</v>
      </c>
      <c r="BF114" s="93">
        <f t="shared" si="401"/>
        <v>-5189588.8065885026</v>
      </c>
      <c r="BG114" s="93">
        <f t="shared" si="401"/>
        <v>-5189588.8065885026</v>
      </c>
      <c r="BH114" s="93">
        <f t="shared" si="401"/>
        <v>-5189588.8065885026</v>
      </c>
      <c r="BI114" s="93">
        <f t="shared" si="401"/>
        <v>-5189588.8065885026</v>
      </c>
      <c r="BJ114" s="93">
        <f t="shared" si="401"/>
        <v>-5189588.8065885026</v>
      </c>
      <c r="BK114" s="93">
        <f t="shared" si="401"/>
        <v>-5189588.8065885026</v>
      </c>
      <c r="BL114" s="93">
        <f t="shared" si="401"/>
        <v>-5189588.8065885026</v>
      </c>
      <c r="BM114" s="93">
        <f t="shared" si="401"/>
        <v>-5189588.8065885026</v>
      </c>
      <c r="BN114" s="93">
        <f t="shared" si="401"/>
        <v>-5189588.8065885026</v>
      </c>
      <c r="BO114" s="93">
        <f t="shared" si="401"/>
        <v>-5189588.8065885026</v>
      </c>
      <c r="BP114" s="93">
        <f t="shared" si="401"/>
        <v>-5189588.8065885026</v>
      </c>
      <c r="BQ114" s="113">
        <f t="shared" si="401"/>
        <v>-62275065.679062031</v>
      </c>
      <c r="BR114" s="93">
        <f t="shared" si="401"/>
        <v>-5189588.8065885026</v>
      </c>
      <c r="BS114" s="93">
        <f t="shared" si="401"/>
        <v>-5189588.8065885026</v>
      </c>
      <c r="BT114" s="93">
        <f t="shared" si="401"/>
        <v>-5189588.8065885026</v>
      </c>
      <c r="BU114" s="93">
        <f t="shared" si="401"/>
        <v>-5189588.8065885026</v>
      </c>
      <c r="BV114" s="93">
        <f t="shared" si="401"/>
        <v>-5189588.8065885026</v>
      </c>
      <c r="BW114" s="93">
        <f t="shared" si="401"/>
        <v>-5189588.8065885026</v>
      </c>
      <c r="BX114" s="93">
        <f t="shared" si="401"/>
        <v>-5189588.8065885026</v>
      </c>
      <c r="BY114" s="93">
        <f t="shared" si="401"/>
        <v>-5189588.8065885026</v>
      </c>
      <c r="BZ114" s="93">
        <f t="shared" si="401"/>
        <v>-5189588.8065885026</v>
      </c>
      <c r="CA114" s="93">
        <f t="shared" si="401"/>
        <v>-5189588.8065885026</v>
      </c>
      <c r="CB114" s="93">
        <f t="shared" si="401"/>
        <v>-5189588.8065885026</v>
      </c>
      <c r="CC114" s="93">
        <f t="shared" si="401"/>
        <v>-5189588.8065885026</v>
      </c>
      <c r="CD114" s="113">
        <f t="shared" si="401"/>
        <v>-62275065.679062039</v>
      </c>
      <c r="CE114" s="93">
        <f t="shared" si="401"/>
        <v>-5189588.8065885026</v>
      </c>
      <c r="CF114" s="93">
        <f t="shared" si="401"/>
        <v>-5189588.8065885026</v>
      </c>
      <c r="CG114" s="93">
        <f t="shared" si="401"/>
        <v>-5189588.8065885026</v>
      </c>
      <c r="CH114" s="93">
        <f t="shared" si="401"/>
        <v>-5189588.8065885026</v>
      </c>
      <c r="CI114" s="93">
        <f t="shared" si="401"/>
        <v>-5189588.8065885026</v>
      </c>
      <c r="CJ114" s="93">
        <f t="shared" si="401"/>
        <v>-5189588.8065885026</v>
      </c>
      <c r="CK114" s="93">
        <f t="shared" si="401"/>
        <v>-5189588.8065885026</v>
      </c>
      <c r="CL114" s="93">
        <f t="shared" si="401"/>
        <v>-5189588.8065885026</v>
      </c>
      <c r="CM114" s="93">
        <f t="shared" si="401"/>
        <v>-5189588.8065885026</v>
      </c>
      <c r="CN114" s="93">
        <f t="shared" si="401"/>
        <v>-5189588.8065885026</v>
      </c>
      <c r="CO114" s="93">
        <f t="shared" si="401"/>
        <v>-5189588.8065885026</v>
      </c>
      <c r="CP114" s="112">
        <f>SUM(CP115:CP148)</f>
        <v>-11341523.531700637</v>
      </c>
      <c r="CQ114" s="93">
        <f>SUM(CQ115:CQ162)</f>
        <v>-68427000.404174149</v>
      </c>
      <c r="CR114" s="93"/>
      <c r="CS114" s="93"/>
      <c r="CT114" s="93"/>
      <c r="CU114" s="93"/>
      <c r="CV114" s="93"/>
      <c r="CW114" s="93"/>
      <c r="CX114" s="93"/>
      <c r="CY114" s="93"/>
      <c r="CZ114" s="93"/>
      <c r="DA114" s="93"/>
      <c r="DB114" s="93"/>
      <c r="DC114" s="93"/>
      <c r="DD114" s="93"/>
      <c r="DE114" s="101"/>
      <c r="DF114" s="101"/>
      <c r="DG114" s="101"/>
      <c r="DH114" s="101"/>
      <c r="DI114" s="101"/>
      <c r="DJ114" s="101"/>
      <c r="DK114" s="101"/>
    </row>
    <row r="115" spans="1:115" ht="14.25" customHeight="1" outlineLevel="2" x14ac:dyDescent="0.4">
      <c r="A115" s="37"/>
      <c r="B115" t="s">
        <v>126</v>
      </c>
      <c r="C115" s="88">
        <f t="shared" ref="C115:C116" si="402">SUM(E115:DI115)-Q115-AD115-AQ115-BD115-BQ115-CD115-CQ115-DD115</f>
        <v>-55343390.819750205</v>
      </c>
      <c r="D115" s="38"/>
      <c r="E115" s="38"/>
      <c r="F115" s="38"/>
      <c r="G115" s="38"/>
      <c r="H115" s="38"/>
      <c r="I115" s="38"/>
      <c r="J115" s="38"/>
      <c r="K115" s="38"/>
      <c r="L115" s="38"/>
      <c r="M115" s="38"/>
      <c r="N115" s="38"/>
      <c r="O115" s="38"/>
      <c r="P115" s="38"/>
      <c r="Q115" s="89"/>
      <c r="R115" s="38"/>
      <c r="S115" s="38"/>
      <c r="T115" s="38"/>
      <c r="U115" s="38"/>
      <c r="V115" s="38"/>
      <c r="W115" s="38"/>
      <c r="X115" s="38"/>
      <c r="Y115" s="38"/>
      <c r="Z115" s="38"/>
      <c r="AA115" s="38"/>
      <c r="AB115" s="38"/>
      <c r="AC115" s="38"/>
      <c r="AD115" s="89"/>
      <c r="AE115" s="38">
        <f>'Sukuk Invest. &amp; Secured Notes'!AA13</f>
        <v>-23400000</v>
      </c>
      <c r="AF115" s="38">
        <f>'Sukuk Invest. &amp; Secured Notes'!AB13</f>
        <v>-954760.60365430487</v>
      </c>
      <c r="AG115" s="38">
        <f>'Sukuk Invest. &amp; Secured Notes'!AC13</f>
        <v>-942460.35015700536</v>
      </c>
      <c r="AH115" s="38">
        <f>'Sukuk Invest. &amp; Secured Notes'!AD13</f>
        <v>-930067.84475847601</v>
      </c>
      <c r="AI115" s="38">
        <f>'Sukuk Invest. &amp; Secured Notes'!AE13</f>
        <v>-917582.39556945767</v>
      </c>
      <c r="AJ115" s="38">
        <f>'Sukuk Invest. &amp; Secured Notes'!AF13</f>
        <v>-905003.30551152176</v>
      </c>
      <c r="AK115" s="38">
        <f>'Sukuk Invest. &amp; Secured Notes'!AG13</f>
        <v>-892329.87227815134</v>
      </c>
      <c r="AL115" s="38">
        <f>'Sukuk Invest. &amp; Secured Notes'!AH13</f>
        <v>-879561.38829553057</v>
      </c>
      <c r="AM115" s="38">
        <f>'Sukuk Invest. &amp; Secured Notes'!AI13</f>
        <v>-866697.14068304014</v>
      </c>
      <c r="AN115" s="38">
        <f>'Sukuk Invest. &amp; Secured Notes'!AJ13</f>
        <v>-853736.41121345607</v>
      </c>
      <c r="AO115" s="38">
        <f>'Sukuk Invest. &amp; Secured Notes'!AK13</f>
        <v>-840678.47627285018</v>
      </c>
      <c r="AP115" s="38">
        <f>'Sukuk Invest. &amp; Secured Notes'!AL13</f>
        <v>-827522.60682018963</v>
      </c>
      <c r="AQ115" s="615">
        <f t="shared" ref="AQ115:AQ163" si="403">SUM(AG115:AP115)</f>
        <v>-8855639.7915596776</v>
      </c>
      <c r="AR115" s="38">
        <f>'Sukuk Invest. &amp; Secured Notes'!AM13</f>
        <v>-814268.06834663427</v>
      </c>
      <c r="AS115" s="38">
        <f>'Sukuk Invest. &amp; Secured Notes'!AN13</f>
        <v>-800914.12083452719</v>
      </c>
      <c r="AT115" s="38">
        <f>'Sukuk Invest. &amp; Secured Notes'!AO13</f>
        <v>-787460.01871607918</v>
      </c>
      <c r="AU115" s="38">
        <f>'Sukuk Invest. &amp; Secured Notes'!AP13</f>
        <v>-773905.01083174301</v>
      </c>
      <c r="AV115" s="38">
        <f>'Sukuk Invest. &amp; Secured Notes'!AQ13</f>
        <v>-760248.34038827417</v>
      </c>
      <c r="AW115" s="38">
        <f>'Sukuk Invest. &amp; Secured Notes'!AR13</f>
        <v>-746489.24491647934</v>
      </c>
      <c r="AX115" s="38">
        <f>'Sukuk Invest. &amp; Secured Notes'!AS13</f>
        <v>-732626.9562286461</v>
      </c>
      <c r="AY115" s="38">
        <f>'Sukuk Invest. &amp; Secured Notes'!AT13</f>
        <v>-718660.70037565404</v>
      </c>
      <c r="AZ115" s="38">
        <f>'Sukuk Invest. &amp; Secured Notes'!AU13</f>
        <v>-704589.69760376448</v>
      </c>
      <c r="BA115" s="38">
        <f>'Sukuk Invest. &amp; Secured Notes'!AV13</f>
        <v>-690413.16231108585</v>
      </c>
      <c r="BB115" s="38">
        <f>'Sukuk Invest. &amp; Secured Notes'!AW13</f>
        <v>-676130.30300371209</v>
      </c>
      <c r="BC115" s="38">
        <f>'Sukuk Invest. &amp; Secured Notes'!AX13</f>
        <v>-661740.32225153304</v>
      </c>
      <c r="BD115" s="89">
        <f t="shared" ref="BD115:BD118" si="404">SUM(AR115:BC115)</f>
        <v>-8867445.9458081331</v>
      </c>
      <c r="BE115" s="38">
        <f>'Sukuk Invest. &amp; Secured Notes'!AY13</f>
        <v>-647242.41664371267</v>
      </c>
      <c r="BF115" s="38">
        <f>'Sukuk Invest. &amp; Secured Notes'!AZ13</f>
        <v>-632635.77674383367</v>
      </c>
      <c r="BG115" s="38">
        <f>'Sukuk Invest. &amp; Secured Notes'!BA13</f>
        <v>-617919.58704470552</v>
      </c>
      <c r="BH115" s="38">
        <f>'Sukuk Invest. &amp; Secured Notes'!BB13</f>
        <v>-603093.02592283383</v>
      </c>
      <c r="BI115" s="38">
        <f>'Sukuk Invest. &amp; Secured Notes'!BC13</f>
        <v>-588155.26559254818</v>
      </c>
      <c r="BJ115" s="38">
        <f>'Sukuk Invest. &amp; Secured Notes'!BD13</f>
        <v>-573105.47205978539</v>
      </c>
      <c r="BK115" s="38">
        <f>'Sukuk Invest. &amp; Secured Notes'!BE13</f>
        <v>-557942.80507552694</v>
      </c>
      <c r="BL115" s="38">
        <f>'Sukuk Invest. &amp; Secured Notes'!BF13</f>
        <v>-542666.41808888654</v>
      </c>
      <c r="BM115" s="38">
        <f>'Sukuk Invest. &amp; Secured Notes'!BG13</f>
        <v>-527275.45819984633</v>
      </c>
      <c r="BN115" s="38">
        <f>'Sukuk Invest. &amp; Secured Notes'!BH13</f>
        <v>-511769.06611163821</v>
      </c>
      <c r="BO115" s="38">
        <f>'Sukuk Invest. &amp; Secured Notes'!BI13</f>
        <v>-496146.37608276866</v>
      </c>
      <c r="BP115" s="38">
        <f>'Sukuk Invest. &amp; Secured Notes'!BJ13</f>
        <v>-480406.51587868255</v>
      </c>
      <c r="BQ115" s="89">
        <f t="shared" ref="BQ115:BQ119" si="405">SUM(BE115:BP115)</f>
        <v>-6778358.1834447691</v>
      </c>
      <c r="BR115" s="38">
        <f>'Sukuk Invest. &amp; Secured Notes'!BK13</f>
        <v>-464548.60672306578</v>
      </c>
      <c r="BS115" s="38">
        <f>'Sukuk Invest. &amp; Secured Notes'!BL13</f>
        <v>-448571.76324878191</v>
      </c>
      <c r="BT115" s="38">
        <f>'Sukuk Invest. &amp; Secured Notes'!BM13</f>
        <v>-432475.09344844084</v>
      </c>
      <c r="BU115" s="38">
        <f>'Sukuk Invest. &amp; Secured Notes'!BN13</f>
        <v>-416257.69862459728</v>
      </c>
      <c r="BV115" s="38">
        <f>'Sukuk Invest. &amp; Secured Notes'!BO13</f>
        <v>-399918.67333957489</v>
      </c>
      <c r="BW115" s="38">
        <f>'Sukuk Invest. &amp; Secured Notes'!BP13</f>
        <v>-383457.10536491481</v>
      </c>
      <c r="BX115" s="38">
        <f>'Sukuk Invest. &amp; Secured Notes'!BQ13</f>
        <v>-366872.07563044474</v>
      </c>
      <c r="BY115" s="38">
        <f>'Sukuk Invest. &amp; Secured Notes'!BR13</f>
        <v>-350162.65817296621</v>
      </c>
      <c r="BZ115" s="38">
        <f>'Sukuk Invest. &amp; Secured Notes'!BS13</f>
        <v>-333327.92008455656</v>
      </c>
      <c r="CA115" s="38">
        <f>'Sukuk Invest. &amp; Secured Notes'!BT13</f>
        <v>-316366.92146048386</v>
      </c>
      <c r="CB115" s="38">
        <f>'Sukuk Invest. &amp; Secured Notes'!BU13</f>
        <v>-299278.71534673061</v>
      </c>
      <c r="CC115" s="38">
        <f>'Sukuk Invest. &amp; Secured Notes'!BV13</f>
        <v>-282062.34768712422</v>
      </c>
      <c r="CD115" s="89">
        <f t="shared" ref="CD115:CD118" si="406">SUM(BR115:CC115)</f>
        <v>-4493299.5791316815</v>
      </c>
      <c r="CE115" s="38">
        <f>'Sukuk Invest. &amp; Secured Notes'!BW13</f>
        <v>-264716.85727007076</v>
      </c>
      <c r="CF115" s="38">
        <f>'Sukuk Invest. &amp; Secured Notes'!BX13</f>
        <v>-247241.27567488939</v>
      </c>
      <c r="CG115" s="38">
        <f>'Sukuk Invest. &amp; Secured Notes'!BY13</f>
        <v>-229634.62721774416</v>
      </c>
      <c r="CH115" s="38">
        <f>'Sukuk Invest. &amp; Secured Notes'!BZ13</f>
        <v>-211895.92889717038</v>
      </c>
      <c r="CI115" s="38">
        <f>'Sukuk Invest. &amp; Secured Notes'!CA13</f>
        <v>-194024.19033919225</v>
      </c>
      <c r="CJ115" s="38">
        <f>'Sukuk Invest. &amp; Secured Notes'!CB13</f>
        <v>-176018.41374202931</v>
      </c>
      <c r="CK115" s="38">
        <f>'Sukuk Invest. &amp; Secured Notes'!CC13</f>
        <v>-157877.59382038767</v>
      </c>
      <c r="CL115" s="38">
        <f>'Sukuk Invest. &amp; Secured Notes'!CD13</f>
        <v>-139600.71774933368</v>
      </c>
      <c r="CM115" s="38">
        <f>'Sukuk Invest. &amp; Secured Notes'!CE13</f>
        <v>-121186.76510774679</v>
      </c>
      <c r="CN115" s="38">
        <f>'Sukuk Invest. &amp; Secured Notes'!CF13</f>
        <v>-102634.70782134801</v>
      </c>
      <c r="CO115" s="38">
        <f>'Sukuk Invest. &amp; Secured Notes'!CG13</f>
        <v>-83943.510105301233</v>
      </c>
      <c r="CP115" s="38">
        <f>'Sukuk Invest. &amp; Secured Notes'!CH13</f>
        <v>-65112.128406384109</v>
      </c>
      <c r="CQ115" s="89">
        <f t="shared" ref="CQ115:CQ118" si="407">SUM(CE115:CP115)</f>
        <v>-1993886.7161515974</v>
      </c>
      <c r="CR115" s="38"/>
      <c r="CS115" s="38"/>
      <c r="DD115" s="89"/>
    </row>
    <row r="116" spans="1:115" ht="14.25" customHeight="1" outlineLevel="2" x14ac:dyDescent="0.4">
      <c r="A116" s="37"/>
      <c r="B116" t="s">
        <v>127</v>
      </c>
      <c r="C116" s="88">
        <f t="shared" si="402"/>
        <v>-129999999.87914884</v>
      </c>
      <c r="E116" s="38"/>
      <c r="H116" s="38"/>
      <c r="I116" s="38"/>
      <c r="J116" s="38"/>
      <c r="K116" s="38"/>
      <c r="L116" s="38"/>
      <c r="M116" s="38"/>
      <c r="N116" s="38"/>
      <c r="O116" s="38"/>
      <c r="P116" s="38"/>
      <c r="Q116" s="89">
        <f>SUM(E116:P116)</f>
        <v>0</v>
      </c>
      <c r="R116" s="38">
        <f>-'Sukuk Invest. &amp; Secured Notes'!M14</f>
        <v>0</v>
      </c>
      <c r="S116" s="38">
        <f>-'Sukuk Invest. &amp; Secured Notes'!N14</f>
        <v>0</v>
      </c>
      <c r="T116" s="38">
        <f>-'Sukuk Invest. &amp; Secured Notes'!O14</f>
        <v>0</v>
      </c>
      <c r="U116" s="38">
        <f>-'Sukuk Invest. &amp; Secured Notes'!P14</f>
        <v>0</v>
      </c>
      <c r="V116" s="38">
        <f>-'Sukuk Invest. &amp; Secured Notes'!Q14</f>
        <v>0</v>
      </c>
      <c r="W116" s="38">
        <f>-'Sukuk Invest. &amp; Secured Notes'!R14</f>
        <v>0</v>
      </c>
      <c r="X116" s="38">
        <f>-'Sukuk Invest. &amp; Secured Notes'!S14</f>
        <v>0</v>
      </c>
      <c r="Y116" s="38">
        <f>-'Sukuk Invest. &amp; Secured Notes'!T14</f>
        <v>0</v>
      </c>
      <c r="Z116" s="38">
        <f>-'Sukuk Invest. &amp; Secured Notes'!U14</f>
        <v>0</v>
      </c>
      <c r="AA116" s="38">
        <f>-'Sukuk Invest. &amp; Secured Notes'!V14</f>
        <v>0</v>
      </c>
      <c r="AB116" s="38">
        <f>-'Sukuk Invest. &amp; Secured Notes'!W14</f>
        <v>0</v>
      </c>
      <c r="AC116" s="38">
        <f>-'Sukuk Invest. &amp; Secured Notes'!X14</f>
        <v>0</v>
      </c>
      <c r="AD116" s="89">
        <f>SUM(R116:AC116)</f>
        <v>0</v>
      </c>
      <c r="AE116" s="38">
        <f>-'Sukuk Invest. &amp; Secured Notes'!AA14</f>
        <v>-2698586.1794260219</v>
      </c>
      <c r="AF116" s="38">
        <f>-'Sukuk Invest. &amp; Secured Notes'!AB14</f>
        <v>-1640033.7996399463</v>
      </c>
      <c r="AG116" s="38">
        <f>-'Sukuk Invest. &amp; Secured Notes'!AC14</f>
        <v>-1652334.0531372461</v>
      </c>
      <c r="AH116" s="38">
        <f>-'Sukuk Invest. &amp; Secured Notes'!AD14</f>
        <v>-1664726.5585357752</v>
      </c>
      <c r="AI116" s="38">
        <f>-'Sukuk Invest. &amp; Secured Notes'!AE14</f>
        <v>-1677212.0077247936</v>
      </c>
      <c r="AJ116" s="38">
        <f>-'Sukuk Invest. &amp; Secured Notes'!AF14</f>
        <v>-1689791.0977827297</v>
      </c>
      <c r="AK116" s="38">
        <f>-'Sukuk Invest. &amp; Secured Notes'!AG14</f>
        <v>-1702464.5310161</v>
      </c>
      <c r="AL116" s="38">
        <f>-'Sukuk Invest. &amp; Secured Notes'!AH14</f>
        <v>-1715233.0149987207</v>
      </c>
      <c r="AM116" s="38">
        <f>-'Sukuk Invest. &amp; Secured Notes'!AI14</f>
        <v>-1728097.2626112113</v>
      </c>
      <c r="AN116" s="38">
        <f>-'Sukuk Invest. &amp; Secured Notes'!AJ14</f>
        <v>-1741057.9920807951</v>
      </c>
      <c r="AO116" s="38">
        <f>-'Sukuk Invest. &amp; Secured Notes'!AK14</f>
        <v>-1754115.927021401</v>
      </c>
      <c r="AP116" s="38">
        <f>-'Sukuk Invest. &amp; Secured Notes'!AL14</f>
        <v>-1767271.7964740617</v>
      </c>
      <c r="AQ116" s="615">
        <f t="shared" si="403"/>
        <v>-17092304.241382834</v>
      </c>
      <c r="AR116" s="38">
        <f>-'Sukuk Invest. &amp; Secured Notes'!AM14</f>
        <v>-1780526.334947617</v>
      </c>
      <c r="AS116" s="38">
        <f>-'Sukuk Invest. &amp; Secured Notes'!AN14</f>
        <v>-1793880.2824597242</v>
      </c>
      <c r="AT116" s="38">
        <f>-'Sukuk Invest. &amp; Secured Notes'!AO14</f>
        <v>-1807334.3845781721</v>
      </c>
      <c r="AU116" s="38">
        <f>-'Sukuk Invest. &amp; Secured Notes'!AP14</f>
        <v>-1820889.3924625083</v>
      </c>
      <c r="AV116" s="38">
        <f>-'Sukuk Invest. &amp; Secured Notes'!AQ14</f>
        <v>-1834546.062905977</v>
      </c>
      <c r="AW116" s="38">
        <f>-'Sukuk Invest. &amp; Secured Notes'!AR14</f>
        <v>-1848305.158377772</v>
      </c>
      <c r="AX116" s="38">
        <f>-'Sukuk Invest. &amp; Secured Notes'!AS14</f>
        <v>-1862167.4470656053</v>
      </c>
      <c r="AY116" s="38">
        <f>-'Sukuk Invest. &amp; Secured Notes'!AT14</f>
        <v>-1876133.7029185973</v>
      </c>
      <c r="AZ116" s="38">
        <f>-'Sukuk Invest. &amp; Secured Notes'!AU14</f>
        <v>-1890204.7056904868</v>
      </c>
      <c r="BA116" s="38">
        <f>-'Sukuk Invest. &amp; Secured Notes'!AV14</f>
        <v>-1904381.2409831653</v>
      </c>
      <c r="BB116" s="38">
        <f>-'Sukuk Invest. &amp; Secured Notes'!AW14</f>
        <v>-1918664.1002905392</v>
      </c>
      <c r="BC116" s="38">
        <f>-'Sukuk Invest. &amp; Secured Notes'!AX14</f>
        <v>-1933054.0810427181</v>
      </c>
      <c r="BD116" s="89">
        <f t="shared" si="404"/>
        <v>-22270086.893722881</v>
      </c>
      <c r="BE116" s="38">
        <f>-'Sukuk Invest. &amp; Secured Notes'!AY14</f>
        <v>-1947551.9866505386</v>
      </c>
      <c r="BF116" s="38">
        <f>-'Sukuk Invest. &amp; Secured Notes'!AZ14</f>
        <v>-1962158.6265504176</v>
      </c>
      <c r="BG116" s="38">
        <f>-'Sukuk Invest. &amp; Secured Notes'!BA14</f>
        <v>-1976874.8162495457</v>
      </c>
      <c r="BH116" s="38">
        <f>-'Sukuk Invest. &amp; Secured Notes'!BB14</f>
        <v>-1991701.3773714174</v>
      </c>
      <c r="BI116" s="38">
        <f>-'Sukuk Invest. &amp; Secured Notes'!BC14</f>
        <v>-2006639.1377017032</v>
      </c>
      <c r="BJ116" s="38">
        <f>-'Sukuk Invest. &amp; Secured Notes'!BD14</f>
        <v>-2021688.9312344659</v>
      </c>
      <c r="BK116" s="38">
        <f>-'Sukuk Invest. &amp; Secured Notes'!BE14</f>
        <v>-2036851.5982187244</v>
      </c>
      <c r="BL116" s="38">
        <f>-'Sukuk Invest. &amp; Secured Notes'!BF14</f>
        <v>-2052127.9852053649</v>
      </c>
      <c r="BM116" s="38">
        <f>-'Sukuk Invest. &amp; Secured Notes'!BG14</f>
        <v>-2067518.945094405</v>
      </c>
      <c r="BN116" s="38">
        <f>-'Sukuk Invest. &amp; Secured Notes'!BH14</f>
        <v>-2083025.3371826131</v>
      </c>
      <c r="BO116" s="38">
        <f>-'Sukuk Invest. &amp; Secured Notes'!BI14</f>
        <v>-2098648.0272114826</v>
      </c>
      <c r="BP116" s="38">
        <f>-'Sukuk Invest. &amp; Secured Notes'!BJ14</f>
        <v>-2114387.8874155688</v>
      </c>
      <c r="BQ116" s="89">
        <f t="shared" si="405"/>
        <v>-24359174.656086251</v>
      </c>
      <c r="BR116" s="38">
        <f>-'Sukuk Invest. &amp; Secured Notes'!BK14</f>
        <v>-2130245.7965711853</v>
      </c>
      <c r="BS116" s="38">
        <f>-'Sukuk Invest. &amp; Secured Notes'!BL14</f>
        <v>-2146222.6400454696</v>
      </c>
      <c r="BT116" s="38">
        <f>-'Sukuk Invest. &amp; Secured Notes'!BM14</f>
        <v>-2162319.3098458103</v>
      </c>
      <c r="BU116" s="38">
        <f>-'Sukuk Invest. &amp; Secured Notes'!BN14</f>
        <v>-2178536.7046696539</v>
      </c>
      <c r="BV116" s="38">
        <f>-'Sukuk Invest. &amp; Secured Notes'!BO14</f>
        <v>-2194875.7299546762</v>
      </c>
      <c r="BW116" s="38">
        <f>-'Sukuk Invest. &amp; Secured Notes'!BP14</f>
        <v>-2211337.2979293363</v>
      </c>
      <c r="BX116" s="38">
        <f>-'Sukuk Invest. &amp; Secured Notes'!BQ14</f>
        <v>-2227922.3276638067</v>
      </c>
      <c r="BY116" s="38">
        <f>-'Sukuk Invest. &amp; Secured Notes'!BR14</f>
        <v>-2244631.7451212853</v>
      </c>
      <c r="BZ116" s="38">
        <f>-'Sukuk Invest. &amp; Secured Notes'!BS14</f>
        <v>-2261466.4832096947</v>
      </c>
      <c r="CA116" s="38">
        <f>-'Sukuk Invest. &amp; Secured Notes'!BT14</f>
        <v>-2278427.4818337676</v>
      </c>
      <c r="CB116" s="38">
        <f>-'Sukuk Invest. &amp; Secured Notes'!BU14</f>
        <v>-2295515.6879475205</v>
      </c>
      <c r="CC116" s="38">
        <f>-'Sukuk Invest. &amp; Secured Notes'!BV14</f>
        <v>-2312732.055607127</v>
      </c>
      <c r="CD116" s="89">
        <f t="shared" si="406"/>
        <v>-26644233.260399334</v>
      </c>
      <c r="CE116" s="38">
        <f>-'Sukuk Invest. &amp; Secured Notes'!BW14</f>
        <v>-2330077.5460241805</v>
      </c>
      <c r="CF116" s="38">
        <f>-'Sukuk Invest. &amp; Secured Notes'!BX14</f>
        <v>-2347553.127619362</v>
      </c>
      <c r="CG116" s="38">
        <f>-'Sukuk Invest. &amp; Secured Notes'!BY14</f>
        <v>-2365159.7760765073</v>
      </c>
      <c r="CH116" s="38">
        <f>-'Sukuk Invest. &amp; Secured Notes'!BZ14</f>
        <v>-2382898.474397081</v>
      </c>
      <c r="CI116" s="38">
        <f>-'Sukuk Invest. &amp; Secured Notes'!CA14</f>
        <v>-2400770.212955059</v>
      </c>
      <c r="CJ116" s="38">
        <f>-'Sukuk Invest. &amp; Secured Notes'!CB14</f>
        <v>-2418775.9895522222</v>
      </c>
      <c r="CK116" s="38">
        <f>-'Sukuk Invest. &amp; Secured Notes'!CC14</f>
        <v>-2436916.8094738638</v>
      </c>
      <c r="CL116" s="38">
        <f>-'Sukuk Invest. &amp; Secured Notes'!CD14</f>
        <v>-2455193.6855449178</v>
      </c>
      <c r="CM116" s="38">
        <f>-'Sukuk Invest. &amp; Secured Notes'!CE14</f>
        <v>-2473607.6381865046</v>
      </c>
      <c r="CN116" s="38">
        <f>-'Sukuk Invest. &amp; Secured Notes'!CF14</f>
        <v>-2492159.6954729031</v>
      </c>
      <c r="CO116" s="38">
        <f>-'Sukuk Invest. &amp; Secured Notes'!CG14</f>
        <v>-2510850.8931889501</v>
      </c>
      <c r="CP116" s="38">
        <f>-'Sukuk Invest. &amp; Secured Notes'!CH14</f>
        <v>-8681617</v>
      </c>
      <c r="CQ116" s="89">
        <f t="shared" si="407"/>
        <v>-35295580.848491549</v>
      </c>
      <c r="CR116" s="38"/>
      <c r="CS116" s="38"/>
      <c r="DD116" s="89"/>
    </row>
    <row r="117" spans="1:115" s="11" customFormat="1" ht="14.25" hidden="1" customHeight="1" outlineLevel="2" x14ac:dyDescent="0.4">
      <c r="A117" s="37"/>
      <c r="B117" s="11" t="s">
        <v>128</v>
      </c>
      <c r="C117" s="89"/>
      <c r="E117" s="38"/>
      <c r="H117" s="38"/>
      <c r="I117" s="38"/>
      <c r="J117" s="38"/>
      <c r="K117" s="38"/>
      <c r="L117" s="38"/>
      <c r="M117" s="38"/>
      <c r="N117" s="38"/>
      <c r="O117" s="38"/>
      <c r="P117" s="38"/>
      <c r="Q117" s="89"/>
      <c r="R117" s="38"/>
      <c r="S117" s="38"/>
      <c r="T117" s="38"/>
      <c r="U117" s="38"/>
      <c r="V117" s="38"/>
      <c r="W117" s="38"/>
      <c r="X117" s="38"/>
      <c r="Y117" s="38"/>
      <c r="Z117" s="38"/>
      <c r="AA117" s="38"/>
      <c r="AB117" s="38"/>
      <c r="AC117" s="38"/>
      <c r="AD117" s="89"/>
      <c r="AE117" s="38"/>
      <c r="AF117" s="38"/>
      <c r="AG117" s="38"/>
      <c r="AH117" s="38"/>
      <c r="AI117" s="38"/>
      <c r="AJ117" s="38"/>
      <c r="AK117" s="38"/>
      <c r="AL117" s="38"/>
      <c r="AM117" s="38"/>
      <c r="AN117" s="38"/>
      <c r="AO117" s="38"/>
      <c r="AP117" s="38"/>
      <c r="AQ117" s="615">
        <f t="shared" si="403"/>
        <v>0</v>
      </c>
      <c r="AR117" s="38"/>
      <c r="AS117" s="38"/>
      <c r="AT117" s="38"/>
      <c r="AU117" s="38"/>
      <c r="AV117" s="38"/>
      <c r="AW117" s="38"/>
      <c r="AX117" s="38"/>
      <c r="AY117" s="38"/>
      <c r="AZ117" s="38"/>
      <c r="BA117" s="38"/>
      <c r="BB117" s="38"/>
      <c r="BC117" s="38"/>
      <c r="BD117" s="89">
        <f t="shared" si="404"/>
        <v>0</v>
      </c>
      <c r="BE117" s="38"/>
      <c r="BF117" s="38"/>
      <c r="BG117" s="38"/>
      <c r="BH117" s="38"/>
      <c r="BI117" s="38"/>
      <c r="BJ117" s="38"/>
      <c r="BK117" s="38"/>
      <c r="BL117" s="38"/>
      <c r="BM117" s="38"/>
      <c r="BN117" s="38"/>
      <c r="BO117" s="38"/>
      <c r="BP117" s="38"/>
      <c r="BQ117" s="89">
        <f t="shared" si="405"/>
        <v>0</v>
      </c>
      <c r="BR117" s="38"/>
      <c r="BS117" s="38"/>
      <c r="BT117" s="38"/>
      <c r="BU117" s="38"/>
      <c r="BV117" s="38"/>
      <c r="BW117" s="38"/>
      <c r="BX117" s="38"/>
      <c r="BY117" s="38"/>
      <c r="BZ117" s="38"/>
      <c r="CA117" s="38"/>
      <c r="CB117" s="38"/>
      <c r="CC117" s="38"/>
      <c r="CD117" s="89">
        <f t="shared" si="406"/>
        <v>0</v>
      </c>
      <c r="CE117" s="38"/>
      <c r="CF117" s="38"/>
      <c r="CG117" s="38"/>
      <c r="CH117" s="38"/>
      <c r="CI117" s="38"/>
      <c r="CJ117" s="38"/>
      <c r="CK117" s="38"/>
      <c r="CL117" s="38"/>
      <c r="CM117" s="38"/>
      <c r="CN117" s="38"/>
      <c r="CO117" s="38"/>
      <c r="CP117" s="38"/>
      <c r="CQ117" s="89">
        <f t="shared" si="407"/>
        <v>0</v>
      </c>
      <c r="CR117" s="38"/>
      <c r="CS117" s="38"/>
      <c r="DD117" s="89"/>
    </row>
    <row r="118" spans="1:115" s="11" customFormat="1" ht="14.25" hidden="1" customHeight="1" outlineLevel="2" x14ac:dyDescent="0.4">
      <c r="A118" s="37"/>
      <c r="B118" s="11" t="s">
        <v>129</v>
      </c>
      <c r="C118" s="89"/>
      <c r="E118" s="38"/>
      <c r="H118" s="38"/>
      <c r="I118" s="38"/>
      <c r="J118" s="38"/>
      <c r="K118" s="38"/>
      <c r="L118" s="38"/>
      <c r="M118" s="38"/>
      <c r="N118" s="38"/>
      <c r="O118" s="38"/>
      <c r="P118" s="38"/>
      <c r="Q118" s="89"/>
      <c r="R118" s="38"/>
      <c r="S118" s="38"/>
      <c r="T118" s="38"/>
      <c r="U118" s="38"/>
      <c r="V118" s="38"/>
      <c r="W118" s="38"/>
      <c r="X118" s="38"/>
      <c r="Y118" s="38"/>
      <c r="Z118" s="38"/>
      <c r="AA118" s="38"/>
      <c r="AB118" s="38"/>
      <c r="AC118" s="38"/>
      <c r="AD118" s="89"/>
      <c r="AE118" s="38"/>
      <c r="AF118" s="38"/>
      <c r="AG118" s="38"/>
      <c r="AH118" s="38"/>
      <c r="AI118" s="38"/>
      <c r="AJ118" s="38"/>
      <c r="AK118" s="38"/>
      <c r="AL118" s="38"/>
      <c r="AM118" s="38"/>
      <c r="AN118" s="38"/>
      <c r="AO118" s="38"/>
      <c r="AP118" s="38"/>
      <c r="AQ118" s="615">
        <f t="shared" si="403"/>
        <v>0</v>
      </c>
      <c r="AR118" s="38"/>
      <c r="AS118" s="38"/>
      <c r="AT118" s="38"/>
      <c r="AU118" s="38"/>
      <c r="AV118" s="38"/>
      <c r="AW118" s="38"/>
      <c r="AX118" s="38"/>
      <c r="AY118" s="38"/>
      <c r="AZ118" s="38"/>
      <c r="BA118" s="38"/>
      <c r="BB118" s="38"/>
      <c r="BC118" s="38"/>
      <c r="BD118" s="89">
        <f t="shared" si="404"/>
        <v>0</v>
      </c>
      <c r="BE118" s="38"/>
      <c r="BF118" s="38"/>
      <c r="BG118" s="38"/>
      <c r="BH118" s="38"/>
      <c r="BI118" s="38"/>
      <c r="BJ118" s="38"/>
      <c r="BK118" s="38"/>
      <c r="BL118" s="38"/>
      <c r="BM118" s="38"/>
      <c r="BN118" s="38"/>
      <c r="BO118" s="38"/>
      <c r="BP118" s="38"/>
      <c r="BQ118" s="89">
        <f t="shared" si="405"/>
        <v>0</v>
      </c>
      <c r="BR118" s="38"/>
      <c r="BS118" s="38"/>
      <c r="BT118" s="38"/>
      <c r="BU118" s="38"/>
      <c r="BV118" s="38"/>
      <c r="BW118" s="38"/>
      <c r="BX118" s="38"/>
      <c r="BY118" s="38"/>
      <c r="BZ118" s="38"/>
      <c r="CA118" s="38"/>
      <c r="CB118" s="38"/>
      <c r="CC118" s="38"/>
      <c r="CD118" s="89">
        <f t="shared" si="406"/>
        <v>0</v>
      </c>
      <c r="CE118" s="38"/>
      <c r="CF118" s="38"/>
      <c r="CG118" s="38"/>
      <c r="CH118" s="38"/>
      <c r="CI118" s="38"/>
      <c r="CJ118" s="38"/>
      <c r="CK118" s="38"/>
      <c r="CL118" s="38"/>
      <c r="CM118" s="38"/>
      <c r="CN118" s="38"/>
      <c r="CO118" s="38"/>
      <c r="CP118" s="38"/>
      <c r="CQ118" s="89">
        <f t="shared" si="407"/>
        <v>0</v>
      </c>
      <c r="CR118" s="38"/>
      <c r="CS118" s="38"/>
      <c r="DD118" s="89"/>
    </row>
    <row r="119" spans="1:115" s="11" customFormat="1" ht="14.25" customHeight="1" outlineLevel="2" x14ac:dyDescent="0.4">
      <c r="A119" s="37"/>
      <c r="B119" s="11" t="s">
        <v>638</v>
      </c>
      <c r="C119" s="89">
        <f t="shared" ref="C119:C162" si="408">SUM(E119:DI119)-Q119-AD119-AQ119-BD119-BQ119-CD119-CQ119-DD119</f>
        <v>-51647737.160060838</v>
      </c>
      <c r="D119" s="38"/>
      <c r="E119" s="38"/>
      <c r="H119" s="38"/>
      <c r="I119" s="38"/>
      <c r="J119" s="38"/>
      <c r="K119" s="38"/>
      <c r="L119" s="38"/>
      <c r="M119" s="38"/>
      <c r="N119" s="38"/>
      <c r="O119" s="38"/>
      <c r="P119" s="38"/>
      <c r="Q119" s="89"/>
      <c r="R119" s="38"/>
      <c r="S119" s="38"/>
      <c r="T119" s="38"/>
      <c r="U119" s="38"/>
      <c r="V119" s="38"/>
      <c r="W119" s="38"/>
      <c r="X119" s="38"/>
      <c r="Y119" s="38"/>
      <c r="Z119" s="38"/>
      <c r="AA119" s="38"/>
      <c r="AB119" s="38"/>
      <c r="AC119" s="38"/>
      <c r="AD119" s="89">
        <f t="shared" ref="AD119:AD132" si="409">SUM(R119:AC119)</f>
        <v>0</v>
      </c>
      <c r="AE119" s="38"/>
      <c r="AF119" s="38"/>
      <c r="AG119" s="38"/>
      <c r="AH119" s="38">
        <f>'Sukuk Invest. &amp; Secured Notes'!AA43</f>
        <v>-22500000</v>
      </c>
      <c r="AI119" s="38">
        <f>'Sukuk Invest. &amp; Secured Notes'!AB43</f>
        <v>-918039.04197529308</v>
      </c>
      <c r="AJ119" s="38">
        <f>'Sukuk Invest. &amp; Secured Notes'!AC43</f>
        <v>-905463.37676540087</v>
      </c>
      <c r="AK119" s="38">
        <f>'Sukuk Invest. &amp; Secured Notes'!AD43</f>
        <v>-892793.39406643447</v>
      </c>
      <c r="AL119" s="38">
        <f>'Sukuk Invest. &amp; Secured Notes'!AE43</f>
        <v>-880028.38649722596</v>
      </c>
      <c r="AM119" s="38">
        <f>'Sukuk Invest. &amp; Secured Notes'!AF43</f>
        <v>-867167.64137124829</v>
      </c>
      <c r="AN119" s="38">
        <f>'Sukuk Invest. &amp; Secured Notes'!AG43</f>
        <v>-854210.44065682578</v>
      </c>
      <c r="AO119" s="38">
        <f>'Sukuk Invest. &amp; Secured Notes'!AH43</f>
        <v>-841156.06093704503</v>
      </c>
      <c r="AP119" s="38">
        <f>'Sukuk Invest. &amp; Secured Notes'!AI43</f>
        <v>-828003.77336936607</v>
      </c>
      <c r="AQ119" s="615">
        <f t="shared" si="403"/>
        <v>-29486862.115638833</v>
      </c>
      <c r="AR119" s="38">
        <f>'Sukuk Invest. &amp; Secured Notes'!AJ43</f>
        <v>-814752.84364492947</v>
      </c>
      <c r="AS119" s="38">
        <f>'Sukuk Invest. &amp; Secured Notes'!AK43</f>
        <v>-801402.53194755956</v>
      </c>
      <c r="AT119" s="38">
        <f>'Sukuk Invest. &amp; Secured Notes'!AL43</f>
        <v>-787952.0929124594</v>
      </c>
      <c r="AU119" s="38">
        <f>'Sukuk Invest. &amp; Secured Notes'!AM43</f>
        <v>-774400.77558459598</v>
      </c>
      <c r="AV119" s="38">
        <f>'Sukuk Invest. &amp; Secured Notes'!AN43</f>
        <v>-760747.82337677351</v>
      </c>
      <c r="AW119" s="38">
        <f>'Sukuk Invest. &amp; Secured Notes'!AO43</f>
        <v>-746992.47402739245</v>
      </c>
      <c r="AX119" s="38">
        <f>'Sukuk Invest. &amp; Secured Notes'!AP43</f>
        <v>-733133.95955789101</v>
      </c>
      <c r="AY119" s="38">
        <f>'Sukuk Invest. &amp; Secured Notes'!AQ43</f>
        <v>-719171.50622986839</v>
      </c>
      <c r="AZ119" s="38">
        <f>'Sukuk Invest. &amp; Secured Notes'!AR43</f>
        <v>-705104.33450188546</v>
      </c>
      <c r="BA119" s="38">
        <f>'Sukuk Invest. &amp; Secured Notes'!AS43</f>
        <v>-690931.6589859426</v>
      </c>
      <c r="BB119" s="38">
        <f>'Sukuk Invest. &amp; Secured Notes'!AT43</f>
        <v>-676652.6884036304</v>
      </c>
      <c r="BC119" s="38">
        <f>'Sukuk Invest. &amp; Secured Notes'!AU43</f>
        <v>-662266.62554195069</v>
      </c>
      <c r="BD119" s="89">
        <f t="shared" ref="BD119:BD164" si="410">SUM(AR119:BC119)</f>
        <v>-8873509.3147148788</v>
      </c>
      <c r="BE119" s="38">
        <f>'Sukuk Invest. &amp; Secured Notes'!AV43</f>
        <v>-647772.66720880847</v>
      </c>
      <c r="BF119" s="38">
        <f>'Sukuk Invest. &amp; Secured Notes'!AW43</f>
        <v>-633170.00418816775</v>
      </c>
      <c r="BG119" s="38">
        <f>'Sukuk Invest. &amp; Secured Notes'!AX43</f>
        <v>-618457.82119487203</v>
      </c>
      <c r="BH119" s="38">
        <f>'Sukuk Invest. &amp; Secured Notes'!AY43</f>
        <v>-603635.29682912666</v>
      </c>
      <c r="BI119" s="38">
        <f>'Sukuk Invest. &amp; Secured Notes'!AZ43</f>
        <v>-588701.60353063827</v>
      </c>
      <c r="BJ119" s="38">
        <f>'Sukuk Invest. &amp; Secured Notes'!BA43</f>
        <v>-573655.90753241105</v>
      </c>
      <c r="BK119" s="38">
        <f>'Sukuk Invest. &amp; Secured Notes'!BB43</f>
        <v>-558497.36881419725</v>
      </c>
      <c r="BL119" s="38">
        <f>'Sukuk Invest. &amp; Secured Notes'!BC43</f>
        <v>-543225.14105559688</v>
      </c>
      <c r="BM119" s="38">
        <f>'Sukuk Invest. &amp; Secured Notes'!BD43</f>
        <v>-527838.37158880697</v>
      </c>
      <c r="BN119" s="38">
        <f>'Sukuk Invest. &amp; Secured Notes'!BE43</f>
        <v>-512336.20135101624</v>
      </c>
      <c r="BO119" s="38">
        <f>'Sukuk Invest. &amp; Secured Notes'!BF43</f>
        <v>-496717.76483644196</v>
      </c>
      <c r="BP119" s="38">
        <f>'Sukuk Invest. &amp; Secured Notes'!BG43</f>
        <v>-480982.1900480084</v>
      </c>
      <c r="BQ119" s="89">
        <f t="shared" si="405"/>
        <v>-6784990.3381780908</v>
      </c>
      <c r="BR119" s="38">
        <f>'Sukuk Invest. &amp; Secured Notes'!BH43</f>
        <v>-465128.59844866156</v>
      </c>
      <c r="BS119" s="38">
        <f>'Sukuk Invest. &amp; Secured Notes'!BI43</f>
        <v>-449156.10491231969</v>
      </c>
      <c r="BT119" s="38">
        <f>'Sukuk Invest. &amp; Secured Notes'!BJ43</f>
        <v>-433063.81767445517</v>
      </c>
      <c r="BU119" s="38">
        <f>'Sukuk Invest. &amp; Secured Notes'!BK43</f>
        <v>-416850.83828230674</v>
      </c>
      <c r="BV119" s="38">
        <f>'Sukuk Invest. &amp; Secured Notes'!BL43</f>
        <v>-400516.26154471713</v>
      </c>
      <c r="BW119" s="38">
        <f>'Sukuk Invest. &amp; Secured Notes'!BM43</f>
        <v>-384059.17548159562</v>
      </c>
      <c r="BX119" s="38">
        <f>'Sukuk Invest. &amp; Secured Notes'!BN43</f>
        <v>-367478.6612730007</v>
      </c>
      <c r="BY119" s="38">
        <f>'Sukuk Invest. &amp; Secured Notes'!BO43</f>
        <v>-350773.79320784134</v>
      </c>
      <c r="BZ119" s="38">
        <f>'Sukuk Invest. &amp; Secured Notes'!BP43</f>
        <v>-333943.63863219327</v>
      </c>
      <c r="CA119" s="38">
        <f>'Sukuk Invest. &amp; Secured Notes'!BQ43</f>
        <v>-316987.25789722789</v>
      </c>
      <c r="CB119" s="38">
        <f>'Sukuk Invest. &amp; Secured Notes'!BR43</f>
        <v>-299903.70430675021</v>
      </c>
      <c r="CC119" s="38">
        <f>'Sukuk Invest. &amp; Secured Notes'!BS43</f>
        <v>-282692.02406434395</v>
      </c>
      <c r="CD119" s="89">
        <f t="shared" ref="CD119:CD163" si="411">SUM(BR119:CC119)</f>
        <v>-4500553.8757254137</v>
      </c>
      <c r="CE119" s="38">
        <f>'Sukuk Invest. &amp; Secured Notes'!BT43</f>
        <v>-265351.2562201196</v>
      </c>
      <c r="CF119" s="38">
        <f>'Sukuk Invest. &amp; Secured Notes'!BU43</f>
        <v>-247880.43261706363</v>
      </c>
      <c r="CG119" s="38">
        <f>'Sukuk Invest. &amp; Secured Notes'!BV43</f>
        <v>-230278.57783698471</v>
      </c>
      <c r="CH119" s="38">
        <f>'Sukuk Invest. &amp; Secured Notes'!BW43</f>
        <v>-212544.70914605519</v>
      </c>
      <c r="CI119" s="38">
        <f>'Sukuk Invest. &amp; Secured Notes'!BX43</f>
        <v>-194677.83643994373</v>
      </c>
      <c r="CJ119" s="38">
        <f>'Sukuk Invest. &amp; Secured Notes'!BY43</f>
        <v>-176676.96218853642</v>
      </c>
      <c r="CK119" s="38">
        <f>'Sukuk Invest. &amp; Secured Notes'!BZ43</f>
        <v>-158541.08138024356</v>
      </c>
      <c r="CL119" s="38">
        <f>'Sukuk Invest. &amp; Secured Notes'!CA43</f>
        <v>-140269.18146588848</v>
      </c>
      <c r="CM119" s="38">
        <f>'Sukuk Invest. &amp; Secured Notes'!CB43</f>
        <v>-121860.24230217576</v>
      </c>
      <c r="CN119" s="38">
        <f>'Sukuk Invest. &amp; Secured Notes'!CC43</f>
        <v>-103313.2360947352</v>
      </c>
      <c r="CO119" s="38">
        <f>'Sukuk Invest. &amp; Secured Notes'!CD43</f>
        <v>-84627.127340738822</v>
      </c>
      <c r="CP119" s="38">
        <f>'Sukuk Invest. &amp; Secured Notes'!CE43</f>
        <v>-65800.872771087481</v>
      </c>
      <c r="CQ119" s="89">
        <f t="shared" ref="CQ119" si="412">SUM(CE119:CP119)</f>
        <v>-2001821.5158035725</v>
      </c>
      <c r="CR119" s="38"/>
      <c r="CS119" s="38"/>
      <c r="CT119" s="38"/>
      <c r="CU119" s="38"/>
      <c r="CV119" s="38"/>
      <c r="CW119" s="38"/>
      <c r="CX119" s="38"/>
      <c r="CY119" s="38"/>
      <c r="CZ119" s="38"/>
      <c r="DA119" s="38"/>
      <c r="DB119" s="38"/>
      <c r="DC119" s="38"/>
      <c r="DD119" s="89"/>
    </row>
    <row r="120" spans="1:115" ht="14.25" customHeight="1" outlineLevel="2" thickBot="1" x14ac:dyDescent="0.45">
      <c r="A120" s="37"/>
      <c r="B120" s="426" t="s">
        <v>670</v>
      </c>
      <c r="C120" s="88">
        <f t="shared" si="408"/>
        <v>-118755543.82771158</v>
      </c>
      <c r="E120" s="38"/>
      <c r="H120" s="38"/>
      <c r="I120" s="38"/>
      <c r="J120" s="38"/>
      <c r="K120" s="38"/>
      <c r="L120" s="38"/>
      <c r="M120" s="38"/>
      <c r="N120" s="38"/>
      <c r="O120" s="38"/>
      <c r="P120" s="38"/>
      <c r="Q120" s="89"/>
      <c r="R120" s="38"/>
      <c r="T120" s="38"/>
      <c r="U120" s="38"/>
      <c r="V120" s="38"/>
      <c r="W120" s="38"/>
      <c r="X120" s="38"/>
      <c r="Y120" s="38"/>
      <c r="Z120" s="38"/>
      <c r="AA120" s="38"/>
      <c r="AB120" s="38"/>
      <c r="AC120" s="38"/>
      <c r="AD120" s="89">
        <f t="shared" si="409"/>
        <v>0</v>
      </c>
      <c r="AE120" s="38"/>
      <c r="AF120" s="38"/>
      <c r="AG120" s="38">
        <f>-'Sukuk Invest. &amp; Secured Notes'!Z44</f>
        <v>0</v>
      </c>
      <c r="AH120" s="38">
        <f>-'Sukuk Invest. &amp; Secured Notes'!AA44</f>
        <v>-2594794.4032942504</v>
      </c>
      <c r="AI120" s="38">
        <f>-'Sukuk Invest. &amp; Secured Notes'!AB44</f>
        <v>-1676755.3613189582</v>
      </c>
      <c r="AJ120" s="38">
        <f>-'Sukuk Invest. &amp; Secured Notes'!AC44</f>
        <v>-1689331.0265288504</v>
      </c>
      <c r="AK120" s="617">
        <f>-'Sukuk Invest. &amp; Secured Notes'!AD44</f>
        <v>-1702001.0092278169</v>
      </c>
      <c r="AL120" s="38">
        <f>-'Sukuk Invest. &amp; Secured Notes'!AE44</f>
        <v>-1714766.0167970252</v>
      </c>
      <c r="AM120" s="38">
        <f>-'Sukuk Invest. &amp; Secured Notes'!AF44</f>
        <v>-1727626.761923003</v>
      </c>
      <c r="AN120" s="38">
        <f>-'Sukuk Invest. &amp; Secured Notes'!AG44</f>
        <v>-1740583.9626374254</v>
      </c>
      <c r="AO120" s="38">
        <f>-'Sukuk Invest. &amp; Secured Notes'!AH44</f>
        <v>-1753638.3423572062</v>
      </c>
      <c r="AP120" s="38">
        <f>-'Sukuk Invest. &amp; Secured Notes'!AI44</f>
        <v>-1766790.6299248852</v>
      </c>
      <c r="AQ120" s="615">
        <f t="shared" si="403"/>
        <v>-16366287.51400942</v>
      </c>
      <c r="AR120" s="38">
        <f>-'Sukuk Invest. &amp; Secured Notes'!AJ44</f>
        <v>-1780041.5596493217</v>
      </c>
      <c r="AS120" s="38">
        <f>-'Sukuk Invest. &amp; Secured Notes'!AK44</f>
        <v>-1793391.8713466916</v>
      </c>
      <c r="AT120" s="38">
        <f>-'Sukuk Invest. &amp; Secured Notes'!AL44</f>
        <v>-1806842.310381792</v>
      </c>
      <c r="AU120" s="38">
        <f>-'Sukuk Invest. &amp; Secured Notes'!AM44</f>
        <v>-1820393.6277096553</v>
      </c>
      <c r="AV120" s="38">
        <f>-'Sukuk Invest. &amp; Secured Notes'!AN44</f>
        <v>-1834046.5799174779</v>
      </c>
      <c r="AW120" s="38">
        <f>-'Sukuk Invest. &amp; Secured Notes'!AO44</f>
        <v>-1847801.9292668588</v>
      </c>
      <c r="AX120" s="38">
        <f>-'Sukuk Invest. &amp; Secured Notes'!AP44</f>
        <v>-1861660.4437363604</v>
      </c>
      <c r="AY120" s="38">
        <f>-'Sukuk Invest. &amp; Secured Notes'!AQ44</f>
        <v>-1875622.8970643829</v>
      </c>
      <c r="AZ120" s="38">
        <f>-'Sukuk Invest. &amp; Secured Notes'!AR44</f>
        <v>-1889690.068792366</v>
      </c>
      <c r="BA120" s="38">
        <f>-'Sukuk Invest. &amp; Secured Notes'!AS44</f>
        <v>-1903862.7443083087</v>
      </c>
      <c r="BB120" s="38">
        <f>-'Sukuk Invest. &amp; Secured Notes'!AT44</f>
        <v>-1918141.7148906209</v>
      </c>
      <c r="BC120" s="38">
        <f>-'Sukuk Invest. &amp; Secured Notes'!AU44</f>
        <v>-1932527.7777523007</v>
      </c>
      <c r="BD120" s="89">
        <f t="shared" si="410"/>
        <v>-22264023.524816141</v>
      </c>
      <c r="BE120" s="38">
        <f>-'Sukuk Invest. &amp; Secured Notes'!AV44</f>
        <v>-1947021.7360854428</v>
      </c>
      <c r="BF120" s="38">
        <f>-'Sukuk Invest. &amp; Secured Notes'!AW44</f>
        <v>-1961624.3991060834</v>
      </c>
      <c r="BG120" s="38">
        <f>-'Sukuk Invest. &amp; Secured Notes'!AX44</f>
        <v>-1976336.5820993793</v>
      </c>
      <c r="BH120" s="38">
        <f>-'Sukuk Invest. &amp; Secured Notes'!AY44</f>
        <v>-1991159.1064651245</v>
      </c>
      <c r="BI120" s="38">
        <f>-'Sukuk Invest. &amp; Secured Notes'!AZ44</f>
        <v>-2006092.7997636129</v>
      </c>
      <c r="BJ120" s="38">
        <f>-'Sukuk Invest. &amp; Secured Notes'!BA44</f>
        <v>-2021138.4957618401</v>
      </c>
      <c r="BK120" s="38">
        <f>-'Sukuk Invest. &amp; Secured Notes'!BB44</f>
        <v>-2036297.0344800539</v>
      </c>
      <c r="BL120" s="38">
        <f>-'Sukuk Invest. &amp; Secured Notes'!BC44</f>
        <v>-2051569.2622386543</v>
      </c>
      <c r="BM120" s="38">
        <f>-'Sukuk Invest. &amp; Secured Notes'!BD44</f>
        <v>-2066956.0317054442</v>
      </c>
      <c r="BN120" s="38">
        <f>-'Sukuk Invest. &amp; Secured Notes'!BE44</f>
        <v>-2082458.201943235</v>
      </c>
      <c r="BO120" s="38">
        <f>-'Sukuk Invest. &amp; Secured Notes'!BF44</f>
        <v>-2098076.6384578096</v>
      </c>
      <c r="BP120" s="38">
        <f>-'Sukuk Invest. &amp; Secured Notes'!BG44</f>
        <v>-2113812.2132462431</v>
      </c>
      <c r="BQ120" s="89">
        <f t="shared" ref="BQ120:BQ164" si="413">SUM(BE120:BP120)</f>
        <v>-24352542.501352921</v>
      </c>
      <c r="BR120" s="38">
        <f>-'Sukuk Invest. &amp; Secured Notes'!BH44</f>
        <v>-2129665.8048455897</v>
      </c>
      <c r="BS120" s="38">
        <f>-'Sukuk Invest. &amp; Secured Notes'!BI44</f>
        <v>-2145638.2983819316</v>
      </c>
      <c r="BT120" s="38">
        <f>-'Sukuk Invest. &amp; Secured Notes'!BJ44</f>
        <v>-2161730.5856197961</v>
      </c>
      <c r="BU120" s="38">
        <f>-'Sukuk Invest. &amp; Secured Notes'!BK44</f>
        <v>-2177943.5650119446</v>
      </c>
      <c r="BV120" s="38">
        <f>-'Sukuk Invest. &amp; Secured Notes'!BL44</f>
        <v>-2194278.1417495343</v>
      </c>
      <c r="BW120" s="38">
        <f>-'Sukuk Invest. &amp; Secured Notes'!BM44</f>
        <v>-2210735.2278126557</v>
      </c>
      <c r="BX120" s="38">
        <f>-'Sukuk Invest. &amp; Secured Notes'!BN44</f>
        <v>-2227315.7420212505</v>
      </c>
      <c r="BY120" s="38">
        <f>-'Sukuk Invest. &amp; Secured Notes'!BO44</f>
        <v>-2244020.6100864098</v>
      </c>
      <c r="BZ120" s="38">
        <f>-'Sukuk Invest. &amp; Secured Notes'!BP44</f>
        <v>-2260850.7646620581</v>
      </c>
      <c r="CA120" s="38">
        <f>-'Sukuk Invest. &amp; Secured Notes'!BQ44</f>
        <v>-2277807.1453970233</v>
      </c>
      <c r="CB120" s="38">
        <f>-'Sukuk Invest. &amp; Secured Notes'!BR44</f>
        <v>-2294890.6989875012</v>
      </c>
      <c r="CC120" s="38">
        <f>-'Sukuk Invest. &amp; Secured Notes'!BS44</f>
        <v>-2312102.3792299074</v>
      </c>
      <c r="CD120" s="89">
        <f t="shared" si="411"/>
        <v>-26636978.963805605</v>
      </c>
      <c r="CE120" s="38">
        <f>-'Sukuk Invest. &amp; Secured Notes'!BT44</f>
        <v>-2329443.1470741318</v>
      </c>
      <c r="CF120" s="38">
        <f>-'Sukuk Invest. &amp; Secured Notes'!BU44</f>
        <v>-2346913.9706771877</v>
      </c>
      <c r="CG120" s="38">
        <f>-'Sukuk Invest. &amp; Secured Notes'!BV44</f>
        <v>-2364515.8254572665</v>
      </c>
      <c r="CH120" s="38">
        <f>-'Sukuk Invest. &amp; Secured Notes'!BW44</f>
        <v>-2382249.6941481959</v>
      </c>
      <c r="CI120" s="38">
        <f>-'Sukuk Invest. &amp; Secured Notes'!BX44</f>
        <v>-2400116.5668543074</v>
      </c>
      <c r="CJ120" s="38">
        <f>-'Sukuk Invest. &amp; Secured Notes'!BY44</f>
        <v>-2418117.441105715</v>
      </c>
      <c r="CK120" s="38">
        <f>-'Sukuk Invest. &amp; Secured Notes'!BZ44</f>
        <v>-2436253.3219140079</v>
      </c>
      <c r="CL120" s="38">
        <f>-'Sukuk Invest. &amp; Secured Notes'!CA44</f>
        <v>-2454525.2218283629</v>
      </c>
      <c r="CM120" s="38">
        <f>-'Sukuk Invest. &amp; Secured Notes'!CB44</f>
        <v>-2472934.1609920757</v>
      </c>
      <c r="CN120" s="38">
        <f>-'Sukuk Invest. &amp; Secured Notes'!CC44</f>
        <v>-2491481.1671995162</v>
      </c>
      <c r="CO120" s="38">
        <f>-'Sukuk Invest. &amp; Secured Notes'!CD44</f>
        <v>-2510167.2759535126</v>
      </c>
      <c r="CP120" s="38">
        <f>-'Sukuk Invest. &amp; Secured Notes'!CE44</f>
        <v>-2528993.5305231637</v>
      </c>
      <c r="CQ120" s="89">
        <f>SUM(CE120:CP120)</f>
        <v>-29135711.323727436</v>
      </c>
      <c r="CR120" s="38"/>
      <c r="CS120" s="38"/>
      <c r="CT120" s="38"/>
      <c r="CU120" s="38"/>
      <c r="CV120" s="38"/>
      <c r="CW120" s="38"/>
      <c r="CX120" s="38"/>
      <c r="CY120" s="38"/>
      <c r="CZ120" s="38"/>
      <c r="DA120" s="38"/>
      <c r="DB120" s="38"/>
      <c r="DC120" s="38"/>
      <c r="DD120" s="89"/>
    </row>
    <row r="121" spans="1:115" ht="14.25" hidden="1" customHeight="1" outlineLevel="2" x14ac:dyDescent="0.4">
      <c r="A121" s="37"/>
      <c r="B121" t="s">
        <v>130</v>
      </c>
      <c r="C121" s="88">
        <f t="shared" si="408"/>
        <v>0</v>
      </c>
      <c r="E121" s="38"/>
      <c r="H121" s="38"/>
      <c r="I121" s="38"/>
      <c r="J121" s="38"/>
      <c r="K121" s="38"/>
      <c r="L121" s="38"/>
      <c r="M121" s="38"/>
      <c r="N121" s="38"/>
      <c r="O121" s="38"/>
      <c r="P121" s="38"/>
      <c r="Q121" s="89"/>
      <c r="R121" s="38"/>
      <c r="S121" s="38"/>
      <c r="T121" s="38"/>
      <c r="U121" s="38"/>
      <c r="V121" s="38"/>
      <c r="W121" s="38"/>
      <c r="X121" s="38"/>
      <c r="Y121" s="38"/>
      <c r="Z121" s="38"/>
      <c r="AA121" s="38"/>
      <c r="AB121" s="38"/>
      <c r="AC121" s="38"/>
      <c r="AD121" s="89"/>
      <c r="AE121" s="38"/>
      <c r="AF121" s="38"/>
      <c r="AG121" s="38"/>
      <c r="AH121" s="38"/>
      <c r="AI121" s="38"/>
      <c r="AJ121" s="38"/>
      <c r="AK121" s="38"/>
      <c r="AL121" s="38"/>
      <c r="AM121" s="38"/>
      <c r="AN121" s="38"/>
      <c r="AO121" s="38"/>
      <c r="AP121" s="38"/>
      <c r="AQ121" s="615">
        <f t="shared" si="403"/>
        <v>0</v>
      </c>
      <c r="AR121" s="38"/>
      <c r="AS121" s="38"/>
      <c r="AT121" s="38"/>
      <c r="AU121" s="38"/>
      <c r="AV121" s="38"/>
      <c r="AW121" s="38"/>
      <c r="AX121" s="38"/>
      <c r="AY121" s="38"/>
      <c r="AZ121" s="38"/>
      <c r="BA121" s="38"/>
      <c r="BB121" s="38"/>
      <c r="BC121" s="38"/>
      <c r="BD121" s="89">
        <f t="shared" si="410"/>
        <v>0</v>
      </c>
      <c r="BE121" s="38"/>
      <c r="BF121" s="38"/>
      <c r="BG121" s="38"/>
      <c r="BH121" s="38"/>
      <c r="BI121" s="38"/>
      <c r="BJ121" s="38"/>
      <c r="BK121" s="38"/>
      <c r="BL121" s="38"/>
      <c r="BM121" s="38"/>
      <c r="BN121" s="38"/>
      <c r="BO121" s="38"/>
      <c r="BP121" s="38"/>
      <c r="BQ121" s="89"/>
      <c r="BR121" s="38"/>
      <c r="BS121" s="38"/>
      <c r="BT121" s="38"/>
      <c r="BU121" s="38"/>
      <c r="BV121" s="38"/>
      <c r="BW121" s="38"/>
      <c r="BX121" s="38"/>
      <c r="BY121" s="38"/>
      <c r="BZ121" s="38"/>
      <c r="CA121" s="38"/>
      <c r="CB121" s="38"/>
      <c r="CC121" s="38"/>
      <c r="CD121" s="89">
        <f t="shared" si="411"/>
        <v>0</v>
      </c>
      <c r="CE121" s="38"/>
      <c r="CF121" s="38"/>
      <c r="CG121" s="38"/>
      <c r="CH121" s="38"/>
      <c r="CI121" s="38"/>
      <c r="CJ121" s="38"/>
      <c r="CK121" s="38"/>
      <c r="CL121" s="38"/>
      <c r="CM121" s="38"/>
      <c r="CN121" s="38"/>
      <c r="CO121" s="38"/>
      <c r="CP121" s="38"/>
      <c r="CQ121" s="89">
        <f t="shared" ref="CQ121:CQ163" si="414">SUM(CE121:CP121)</f>
        <v>0</v>
      </c>
      <c r="CR121" s="38"/>
      <c r="CS121" s="38"/>
      <c r="CT121" s="38"/>
      <c r="CU121" s="38"/>
      <c r="CV121" s="38"/>
      <c r="CW121" s="38"/>
      <c r="CX121" s="38"/>
      <c r="CY121" s="38"/>
      <c r="CZ121" s="38"/>
      <c r="DA121" s="38"/>
      <c r="DB121" s="38"/>
      <c r="DC121" s="38"/>
      <c r="DD121" s="89"/>
    </row>
    <row r="122" spans="1:115" ht="14.25" hidden="1" customHeight="1" outlineLevel="2" x14ac:dyDescent="0.4">
      <c r="A122" s="37"/>
      <c r="B122" t="s">
        <v>131</v>
      </c>
      <c r="C122" s="88">
        <f t="shared" si="408"/>
        <v>0</v>
      </c>
      <c r="D122" s="38"/>
      <c r="E122" s="38"/>
      <c r="H122" s="38"/>
      <c r="I122" s="38"/>
      <c r="J122" s="38"/>
      <c r="K122" s="38"/>
      <c r="L122" s="38"/>
      <c r="M122" s="38"/>
      <c r="N122" s="38"/>
      <c r="O122" s="38"/>
      <c r="P122" s="38"/>
      <c r="Q122" s="89"/>
      <c r="R122" s="38"/>
      <c r="S122" s="38"/>
      <c r="U122" s="38"/>
      <c r="V122" s="38"/>
      <c r="W122" s="38"/>
      <c r="X122" s="38"/>
      <c r="Y122" s="38"/>
      <c r="Z122" s="38"/>
      <c r="AA122" s="38"/>
      <c r="AB122" s="38"/>
      <c r="AC122" s="38"/>
      <c r="AD122" s="89"/>
      <c r="AE122" s="38"/>
      <c r="AF122" s="38"/>
      <c r="AG122" s="38"/>
      <c r="AH122" s="38"/>
      <c r="AI122" s="38"/>
      <c r="AJ122" s="38"/>
      <c r="AK122" s="38"/>
      <c r="AL122" s="38"/>
      <c r="AM122" s="38"/>
      <c r="AN122" s="38"/>
      <c r="AO122" s="38"/>
      <c r="AP122" s="38"/>
      <c r="AQ122" s="615">
        <f t="shared" si="403"/>
        <v>0</v>
      </c>
      <c r="AR122" s="38"/>
      <c r="AS122" s="38"/>
      <c r="AT122" s="38"/>
      <c r="AU122" s="38"/>
      <c r="AV122" s="38"/>
      <c r="AW122" s="38"/>
      <c r="AX122" s="38"/>
      <c r="AY122" s="38"/>
      <c r="AZ122" s="38"/>
      <c r="BA122" s="38"/>
      <c r="BB122" s="38"/>
      <c r="BC122" s="38"/>
      <c r="BD122" s="89">
        <f t="shared" si="410"/>
        <v>0</v>
      </c>
      <c r="BE122" s="38"/>
      <c r="BF122" s="38"/>
      <c r="BG122" s="38"/>
      <c r="BH122" s="38"/>
      <c r="BI122" s="38"/>
      <c r="BJ122" s="38"/>
      <c r="BK122" s="38"/>
      <c r="BL122" s="38"/>
      <c r="BM122" s="38"/>
      <c r="BN122" s="38"/>
      <c r="BO122" s="38"/>
      <c r="BP122" s="38"/>
      <c r="BQ122" s="89"/>
      <c r="BR122" s="38"/>
      <c r="BS122" s="38"/>
      <c r="BT122" s="38"/>
      <c r="BU122" s="38"/>
      <c r="BV122" s="38"/>
      <c r="BW122" s="38"/>
      <c r="BX122" s="38"/>
      <c r="BY122" s="38"/>
      <c r="BZ122" s="38"/>
      <c r="CA122" s="38"/>
      <c r="CB122" s="38"/>
      <c r="CC122" s="38"/>
      <c r="CD122" s="89">
        <f t="shared" si="411"/>
        <v>0</v>
      </c>
      <c r="CE122" s="38"/>
      <c r="CF122" s="38"/>
      <c r="CG122" s="38"/>
      <c r="CH122" s="38"/>
      <c r="CI122" s="38"/>
      <c r="CJ122" s="38"/>
      <c r="CK122" s="38"/>
      <c r="CL122" s="38"/>
      <c r="CM122" s="38"/>
      <c r="CN122" s="38"/>
      <c r="CO122" s="38"/>
      <c r="CP122" s="38"/>
      <c r="CQ122" s="89">
        <f t="shared" si="414"/>
        <v>0</v>
      </c>
      <c r="CR122" s="38"/>
      <c r="CS122" s="38"/>
      <c r="CT122" s="38"/>
      <c r="CU122" s="38"/>
      <c r="CV122" s="38"/>
      <c r="CW122" s="38"/>
      <c r="CX122" s="38"/>
      <c r="CY122" s="38"/>
      <c r="CZ122" s="38"/>
      <c r="DA122" s="38"/>
      <c r="DB122" s="38"/>
      <c r="DC122" s="38"/>
      <c r="DD122" s="89"/>
    </row>
    <row r="123" spans="1:115" ht="14.25" hidden="1" customHeight="1" outlineLevel="2" x14ac:dyDescent="0.4">
      <c r="A123" s="37"/>
      <c r="B123" t="s">
        <v>132</v>
      </c>
      <c r="C123" s="88">
        <f t="shared" si="408"/>
        <v>0</v>
      </c>
      <c r="E123" s="38"/>
      <c r="H123" s="38"/>
      <c r="I123" s="38"/>
      <c r="J123" s="38"/>
      <c r="K123" s="38"/>
      <c r="L123" s="38"/>
      <c r="M123" s="38"/>
      <c r="N123" s="38"/>
      <c r="O123" s="38"/>
      <c r="P123" s="38"/>
      <c r="Q123" s="89"/>
      <c r="R123" s="38"/>
      <c r="S123" s="38"/>
      <c r="T123" s="38"/>
      <c r="U123" s="38"/>
      <c r="V123" s="38"/>
      <c r="W123" s="38"/>
      <c r="X123" s="38"/>
      <c r="Y123" s="38"/>
      <c r="Z123" s="38"/>
      <c r="AA123" s="38"/>
      <c r="AB123" s="38"/>
      <c r="AC123" s="38"/>
      <c r="AD123" s="89"/>
      <c r="AE123" s="38"/>
      <c r="AF123" s="38"/>
      <c r="AG123" s="38"/>
      <c r="AH123" s="38"/>
      <c r="AI123" s="38"/>
      <c r="AJ123" s="38"/>
      <c r="AK123" s="38"/>
      <c r="AL123" s="38"/>
      <c r="AM123" s="38"/>
      <c r="AN123" s="38"/>
      <c r="AO123" s="38"/>
      <c r="AP123" s="38"/>
      <c r="AQ123" s="615">
        <f t="shared" si="403"/>
        <v>0</v>
      </c>
      <c r="AR123" s="38"/>
      <c r="AS123" s="38"/>
      <c r="AT123" s="38"/>
      <c r="AU123" s="38"/>
      <c r="AV123" s="38"/>
      <c r="AW123" s="38"/>
      <c r="AX123" s="38"/>
      <c r="AY123" s="38"/>
      <c r="AZ123" s="38"/>
      <c r="BA123" s="38"/>
      <c r="BB123" s="38"/>
      <c r="BC123" s="38"/>
      <c r="BD123" s="89">
        <f t="shared" si="410"/>
        <v>0</v>
      </c>
      <c r="BE123" s="38"/>
      <c r="BF123" s="38"/>
      <c r="BG123" s="38"/>
      <c r="BH123" s="38"/>
      <c r="BI123" s="38"/>
      <c r="BJ123" s="38"/>
      <c r="BK123" s="38"/>
      <c r="BL123" s="38"/>
      <c r="BM123" s="38"/>
      <c r="BN123" s="38"/>
      <c r="BO123" s="38"/>
      <c r="BP123" s="38"/>
      <c r="BQ123" s="89"/>
      <c r="BR123" s="38"/>
      <c r="BS123" s="38"/>
      <c r="BT123" s="38"/>
      <c r="BU123" s="38"/>
      <c r="BV123" s="38"/>
      <c r="BW123" s="38"/>
      <c r="BX123" s="38"/>
      <c r="BY123" s="38"/>
      <c r="BZ123" s="38"/>
      <c r="CA123" s="38"/>
      <c r="CB123" s="38"/>
      <c r="CC123" s="38"/>
      <c r="CD123" s="89">
        <f t="shared" si="411"/>
        <v>0</v>
      </c>
      <c r="CE123" s="38"/>
      <c r="CF123" s="38"/>
      <c r="CG123" s="38"/>
      <c r="CH123" s="38"/>
      <c r="CI123" s="38"/>
      <c r="CJ123" s="38"/>
      <c r="CK123" s="38"/>
      <c r="CL123" s="38"/>
      <c r="CM123" s="38"/>
      <c r="CN123" s="38"/>
      <c r="CO123" s="38"/>
      <c r="CP123" s="38"/>
      <c r="CQ123" s="89">
        <f t="shared" si="414"/>
        <v>0</v>
      </c>
      <c r="CR123" s="38"/>
      <c r="CS123" s="38"/>
      <c r="CT123" s="38"/>
      <c r="CU123" s="38"/>
      <c r="CV123" s="38"/>
      <c r="CW123" s="38"/>
      <c r="CX123" s="38"/>
      <c r="CY123" s="38"/>
      <c r="CZ123" s="38"/>
      <c r="DA123" s="38"/>
      <c r="DB123" s="38"/>
      <c r="DC123" s="38"/>
      <c r="DD123" s="89"/>
    </row>
    <row r="124" spans="1:115" ht="14.25" hidden="1" customHeight="1" outlineLevel="2" x14ac:dyDescent="0.4">
      <c r="A124" s="37"/>
      <c r="B124" t="s">
        <v>133</v>
      </c>
      <c r="C124" s="88">
        <f t="shared" si="408"/>
        <v>0</v>
      </c>
      <c r="D124" s="38"/>
      <c r="E124" s="38"/>
      <c r="H124" s="38"/>
      <c r="I124" s="38"/>
      <c r="J124" s="38"/>
      <c r="K124" s="38"/>
      <c r="L124" s="38"/>
      <c r="M124" s="38"/>
      <c r="N124" s="38"/>
      <c r="O124" s="38"/>
      <c r="P124" s="38"/>
      <c r="Q124" s="89"/>
      <c r="R124" s="38"/>
      <c r="S124" s="38"/>
      <c r="T124" s="38"/>
      <c r="U124" s="38"/>
      <c r="V124" s="38"/>
      <c r="W124" s="38"/>
      <c r="X124" s="38"/>
      <c r="Y124" s="38"/>
      <c r="Z124" s="38"/>
      <c r="AA124" s="38"/>
      <c r="AB124" s="38"/>
      <c r="AC124" s="38"/>
      <c r="AD124" s="89"/>
      <c r="AE124" s="38"/>
      <c r="AF124" s="38"/>
      <c r="AG124" s="38"/>
      <c r="AH124" s="38"/>
      <c r="AI124" s="38"/>
      <c r="AJ124" s="38"/>
      <c r="AK124" s="38"/>
      <c r="AL124" s="38"/>
      <c r="AM124" s="38"/>
      <c r="AN124" s="38"/>
      <c r="AO124" s="38"/>
      <c r="AP124" s="38"/>
      <c r="AQ124" s="615">
        <f t="shared" si="403"/>
        <v>0</v>
      </c>
      <c r="AR124" s="38"/>
      <c r="AS124" s="38"/>
      <c r="AT124" s="38"/>
      <c r="AU124" s="38"/>
      <c r="AV124" s="38"/>
      <c r="AW124" s="38"/>
      <c r="AX124" s="38"/>
      <c r="AY124" s="38"/>
      <c r="AZ124" s="38"/>
      <c r="BA124" s="38"/>
      <c r="BB124" s="38"/>
      <c r="BC124" s="38"/>
      <c r="BD124" s="89">
        <f t="shared" si="410"/>
        <v>0</v>
      </c>
      <c r="BE124" s="38"/>
      <c r="BF124" s="38"/>
      <c r="BG124" s="38"/>
      <c r="BH124" s="38"/>
      <c r="BI124" s="38"/>
      <c r="BJ124" s="38"/>
      <c r="BK124" s="38"/>
      <c r="BL124" s="38"/>
      <c r="BM124" s="38"/>
      <c r="BN124" s="38"/>
      <c r="BO124" s="38"/>
      <c r="BP124" s="38"/>
      <c r="BQ124" s="89"/>
      <c r="BR124" s="38"/>
      <c r="BS124" s="38"/>
      <c r="BT124" s="38"/>
      <c r="BU124" s="38"/>
      <c r="BV124" s="38"/>
      <c r="BW124" s="38"/>
      <c r="BX124" s="38"/>
      <c r="BY124" s="38"/>
      <c r="BZ124" s="38"/>
      <c r="CA124" s="38"/>
      <c r="CB124" s="38"/>
      <c r="CC124" s="38"/>
      <c r="CD124" s="89">
        <f t="shared" si="411"/>
        <v>0</v>
      </c>
      <c r="CE124" s="38"/>
      <c r="CF124" s="38"/>
      <c r="CG124" s="38"/>
      <c r="CH124" s="38"/>
      <c r="CI124" s="38"/>
      <c r="CJ124" s="38"/>
      <c r="CK124" s="38"/>
      <c r="CL124" s="38"/>
      <c r="CM124" s="38"/>
      <c r="CN124" s="38"/>
      <c r="CO124" s="38"/>
      <c r="CP124" s="38"/>
      <c r="CQ124" s="89">
        <f t="shared" si="414"/>
        <v>0</v>
      </c>
      <c r="CR124" s="38"/>
      <c r="CS124" s="38"/>
      <c r="CT124" s="38"/>
      <c r="CU124" s="38"/>
      <c r="CV124" s="38"/>
      <c r="CW124" s="38"/>
      <c r="CX124" s="38"/>
      <c r="CY124" s="38"/>
      <c r="CZ124" s="38"/>
      <c r="DA124" s="38"/>
      <c r="DB124" s="38"/>
      <c r="DC124" s="38"/>
      <c r="DD124" s="89"/>
    </row>
    <row r="125" spans="1:115" ht="14.25" hidden="1" customHeight="1" outlineLevel="2" x14ac:dyDescent="0.4">
      <c r="A125" s="37"/>
      <c r="B125" t="s">
        <v>134</v>
      </c>
      <c r="C125" s="88">
        <f t="shared" si="408"/>
        <v>0</v>
      </c>
      <c r="D125" s="38"/>
      <c r="E125" s="38"/>
      <c r="H125" s="38"/>
      <c r="I125" s="38"/>
      <c r="J125" s="38"/>
      <c r="K125" s="38"/>
      <c r="L125" s="38"/>
      <c r="M125" s="38"/>
      <c r="N125" s="38"/>
      <c r="O125" s="38"/>
      <c r="P125" s="38"/>
      <c r="Q125" s="89"/>
      <c r="R125" s="38"/>
      <c r="S125" s="38"/>
      <c r="T125" s="38"/>
      <c r="U125" s="38"/>
      <c r="V125" s="38"/>
      <c r="W125" s="38"/>
      <c r="X125" s="38"/>
      <c r="Y125" s="38"/>
      <c r="Z125" s="38"/>
      <c r="AA125" s="38"/>
      <c r="AB125" s="38"/>
      <c r="AC125" s="38"/>
      <c r="AD125" s="89"/>
      <c r="AE125" s="38"/>
      <c r="AF125" s="38"/>
      <c r="AG125" s="38"/>
      <c r="AH125" s="38"/>
      <c r="AI125" s="38"/>
      <c r="AJ125" s="38"/>
      <c r="AK125" s="38"/>
      <c r="AL125" s="38"/>
      <c r="AM125" s="38"/>
      <c r="AN125" s="38"/>
      <c r="AO125" s="38"/>
      <c r="AP125" s="38"/>
      <c r="AQ125" s="615">
        <f t="shared" si="403"/>
        <v>0</v>
      </c>
      <c r="AR125" s="38"/>
      <c r="AS125" s="38"/>
      <c r="AT125" s="38"/>
      <c r="AU125" s="38"/>
      <c r="AV125" s="38"/>
      <c r="AW125" s="38"/>
      <c r="AX125" s="38"/>
      <c r="AY125" s="38"/>
      <c r="AZ125" s="38"/>
      <c r="BA125" s="38"/>
      <c r="BB125" s="38"/>
      <c r="BC125" s="38"/>
      <c r="BD125" s="89">
        <f t="shared" si="410"/>
        <v>0</v>
      </c>
      <c r="BE125" s="38"/>
      <c r="BF125" s="38"/>
      <c r="BG125" s="38"/>
      <c r="BH125" s="38"/>
      <c r="BI125" s="38"/>
      <c r="BJ125" s="38"/>
      <c r="BK125" s="38"/>
      <c r="BL125" s="38"/>
      <c r="BM125" s="38"/>
      <c r="BN125" s="38"/>
      <c r="BO125" s="38"/>
      <c r="BP125" s="38"/>
      <c r="BQ125" s="89"/>
      <c r="BR125" s="38"/>
      <c r="BS125" s="38"/>
      <c r="BT125" s="38"/>
      <c r="BU125" s="38"/>
      <c r="BV125" s="38"/>
      <c r="BW125" s="38"/>
      <c r="BX125" s="38"/>
      <c r="BY125" s="38"/>
      <c r="BZ125" s="38"/>
      <c r="CA125" s="38"/>
      <c r="CB125" s="38"/>
      <c r="CC125" s="38"/>
      <c r="CD125" s="89">
        <f t="shared" si="411"/>
        <v>0</v>
      </c>
      <c r="CE125" s="38"/>
      <c r="CF125" s="38"/>
      <c r="CG125" s="38"/>
      <c r="CH125" s="38"/>
      <c r="CI125" s="38"/>
      <c r="CJ125" s="38"/>
      <c r="CK125" s="38"/>
      <c r="CL125" s="38"/>
      <c r="CM125" s="38"/>
      <c r="CN125" s="38"/>
      <c r="CO125" s="38"/>
      <c r="CP125" s="38"/>
      <c r="CQ125" s="89">
        <f t="shared" si="414"/>
        <v>0</v>
      </c>
      <c r="CR125" s="38"/>
      <c r="CS125" s="38"/>
      <c r="CT125" s="38"/>
      <c r="CU125" s="38"/>
      <c r="CV125" s="38"/>
      <c r="CW125" s="38"/>
      <c r="CX125" s="38"/>
      <c r="CY125" s="38"/>
      <c r="CZ125" s="38"/>
      <c r="DA125" s="38"/>
      <c r="DB125" s="38"/>
      <c r="DC125" s="38"/>
      <c r="DD125" s="89"/>
    </row>
    <row r="126" spans="1:115" ht="14.25" hidden="1" customHeight="1" outlineLevel="2" x14ac:dyDescent="0.4">
      <c r="A126" s="37"/>
      <c r="B126" t="s">
        <v>135</v>
      </c>
      <c r="C126" s="88">
        <f t="shared" si="408"/>
        <v>0</v>
      </c>
      <c r="D126" s="38"/>
      <c r="E126" s="38"/>
      <c r="H126" s="38"/>
      <c r="I126" s="38"/>
      <c r="J126" s="38"/>
      <c r="K126" s="38"/>
      <c r="L126" s="38"/>
      <c r="M126" s="38"/>
      <c r="N126" s="38"/>
      <c r="O126" s="38"/>
      <c r="P126" s="38"/>
      <c r="Q126" s="89"/>
      <c r="R126" s="38"/>
      <c r="S126" s="38"/>
      <c r="T126" s="38"/>
      <c r="U126" s="38"/>
      <c r="V126" s="38"/>
      <c r="W126" s="38"/>
      <c r="X126" s="38"/>
      <c r="Y126" s="38"/>
      <c r="Z126" s="38"/>
      <c r="AA126" s="38"/>
      <c r="AB126" s="38"/>
      <c r="AC126" s="38"/>
      <c r="AD126" s="89"/>
      <c r="AE126" s="38"/>
      <c r="AF126" s="38"/>
      <c r="AG126" s="38"/>
      <c r="AH126" s="38"/>
      <c r="AI126" s="38"/>
      <c r="AJ126" s="38"/>
      <c r="AK126" s="38"/>
      <c r="AL126" s="38"/>
      <c r="AM126" s="38"/>
      <c r="AN126" s="38"/>
      <c r="AO126" s="38"/>
      <c r="AP126" s="38"/>
      <c r="AQ126" s="615">
        <f t="shared" si="403"/>
        <v>0</v>
      </c>
      <c r="AR126" s="38"/>
      <c r="AS126" s="38"/>
      <c r="AT126" s="38"/>
      <c r="AU126" s="38"/>
      <c r="AV126" s="38"/>
      <c r="AW126" s="38"/>
      <c r="AX126" s="38"/>
      <c r="AY126" s="38"/>
      <c r="AZ126" s="38"/>
      <c r="BA126" s="38"/>
      <c r="BB126" s="38"/>
      <c r="BC126" s="38"/>
      <c r="BD126" s="89">
        <f t="shared" si="410"/>
        <v>0</v>
      </c>
      <c r="BE126" s="38"/>
      <c r="BF126" s="38"/>
      <c r="BG126" s="38"/>
      <c r="BH126" s="38"/>
      <c r="BI126" s="38"/>
      <c r="BJ126" s="38"/>
      <c r="BK126" s="38"/>
      <c r="BL126" s="38"/>
      <c r="BM126" s="38"/>
      <c r="BN126" s="38"/>
      <c r="BO126" s="38"/>
      <c r="BP126" s="38"/>
      <c r="BQ126" s="89"/>
      <c r="BR126" s="38"/>
      <c r="BS126" s="38"/>
      <c r="BT126" s="38"/>
      <c r="BU126" s="38"/>
      <c r="BV126" s="38"/>
      <c r="BW126" s="38"/>
      <c r="BX126" s="38"/>
      <c r="BY126" s="38"/>
      <c r="BZ126" s="38"/>
      <c r="CA126" s="38"/>
      <c r="CB126" s="38"/>
      <c r="CC126" s="38"/>
      <c r="CD126" s="89">
        <f t="shared" si="411"/>
        <v>0</v>
      </c>
      <c r="CE126" s="38"/>
      <c r="CF126" s="38"/>
      <c r="CG126" s="38"/>
      <c r="CH126" s="38"/>
      <c r="CI126" s="38"/>
      <c r="CJ126" s="38"/>
      <c r="CK126" s="38"/>
      <c r="CL126" s="38"/>
      <c r="CM126" s="38"/>
      <c r="CN126" s="38"/>
      <c r="CO126" s="38"/>
      <c r="CP126" s="38"/>
      <c r="CQ126" s="89">
        <f t="shared" si="414"/>
        <v>0</v>
      </c>
      <c r="CR126" s="38"/>
      <c r="CS126" s="38"/>
      <c r="CT126" s="38"/>
      <c r="CU126" s="38"/>
      <c r="CV126" s="38"/>
      <c r="CW126" s="38"/>
      <c r="CX126" s="38"/>
      <c r="CY126" s="38"/>
      <c r="CZ126" s="38"/>
      <c r="DA126" s="38"/>
      <c r="DB126" s="38"/>
      <c r="DC126" s="38"/>
      <c r="DD126" s="89"/>
    </row>
    <row r="127" spans="1:115" ht="14.25" hidden="1" customHeight="1" outlineLevel="2" x14ac:dyDescent="0.4">
      <c r="A127" s="37"/>
      <c r="B127" t="s">
        <v>136</v>
      </c>
      <c r="C127" s="88">
        <f t="shared" si="408"/>
        <v>0</v>
      </c>
      <c r="E127" s="38"/>
      <c r="H127" s="38"/>
      <c r="I127" s="38"/>
      <c r="J127" s="38"/>
      <c r="K127" s="38"/>
      <c r="L127" s="38"/>
      <c r="M127" s="38"/>
      <c r="N127" s="38"/>
      <c r="O127" s="38"/>
      <c r="P127" s="38"/>
      <c r="Q127" s="89"/>
      <c r="R127" s="38"/>
      <c r="S127" s="38"/>
      <c r="T127" s="38"/>
      <c r="U127" s="38"/>
      <c r="V127" s="38"/>
      <c r="W127" s="38"/>
      <c r="X127" s="38"/>
      <c r="Y127" s="38"/>
      <c r="Z127" s="38"/>
      <c r="AA127" s="38"/>
      <c r="AB127" s="38"/>
      <c r="AC127" s="38"/>
      <c r="AD127" s="89"/>
      <c r="AE127" s="38"/>
      <c r="AF127" s="38"/>
      <c r="AG127" s="38"/>
      <c r="AH127" s="38"/>
      <c r="AI127" s="38"/>
      <c r="AJ127" s="38"/>
      <c r="AK127" s="38"/>
      <c r="AL127" s="38"/>
      <c r="AM127" s="38"/>
      <c r="AN127" s="38"/>
      <c r="AO127" s="38"/>
      <c r="AP127" s="38"/>
      <c r="AQ127" s="615">
        <f t="shared" si="403"/>
        <v>0</v>
      </c>
      <c r="AR127" s="38"/>
      <c r="AS127" s="38"/>
      <c r="AT127" s="38"/>
      <c r="AU127" s="38"/>
      <c r="AV127" s="38"/>
      <c r="AW127" s="38"/>
      <c r="AX127" s="38"/>
      <c r="AY127" s="38"/>
      <c r="AZ127" s="38"/>
      <c r="BA127" s="38"/>
      <c r="BB127" s="38"/>
      <c r="BC127" s="38"/>
      <c r="BD127" s="89">
        <f t="shared" si="410"/>
        <v>0</v>
      </c>
      <c r="BE127" s="38"/>
      <c r="BF127" s="38"/>
      <c r="BG127" s="38"/>
      <c r="BH127" s="38"/>
      <c r="BI127" s="38"/>
      <c r="BJ127" s="38"/>
      <c r="BK127" s="38"/>
      <c r="BL127" s="38"/>
      <c r="BM127" s="38"/>
      <c r="BN127" s="38"/>
      <c r="BO127" s="38"/>
      <c r="BP127" s="38"/>
      <c r="BQ127" s="89"/>
      <c r="BR127" s="38"/>
      <c r="BS127" s="38"/>
      <c r="BT127" s="38"/>
      <c r="BU127" s="38"/>
      <c r="BV127" s="38"/>
      <c r="BW127" s="38"/>
      <c r="BX127" s="38"/>
      <c r="BY127" s="38"/>
      <c r="BZ127" s="38"/>
      <c r="CA127" s="38"/>
      <c r="CB127" s="38"/>
      <c r="CC127" s="38"/>
      <c r="CD127" s="89">
        <f t="shared" si="411"/>
        <v>0</v>
      </c>
      <c r="CE127" s="38"/>
      <c r="CF127" s="38"/>
      <c r="CG127" s="38"/>
      <c r="CH127" s="38"/>
      <c r="CI127" s="38"/>
      <c r="CJ127" s="38"/>
      <c r="CK127" s="38"/>
      <c r="CL127" s="38"/>
      <c r="CM127" s="38"/>
      <c r="CN127" s="38"/>
      <c r="CO127" s="38"/>
      <c r="CP127" s="38"/>
      <c r="CQ127" s="89">
        <f t="shared" si="414"/>
        <v>0</v>
      </c>
      <c r="CR127" s="38"/>
      <c r="CS127" s="38"/>
      <c r="CT127" s="38"/>
      <c r="CU127" s="38"/>
      <c r="CV127" s="38"/>
      <c r="CW127" s="38"/>
      <c r="CX127" s="38"/>
      <c r="CY127" s="38"/>
      <c r="CZ127" s="38"/>
      <c r="DA127" s="38"/>
      <c r="DB127" s="38"/>
      <c r="DC127" s="38"/>
      <c r="DD127" s="89"/>
    </row>
    <row r="128" spans="1:115" ht="14.25" hidden="1" customHeight="1" outlineLevel="2" x14ac:dyDescent="0.4">
      <c r="A128" s="37"/>
      <c r="B128" t="s">
        <v>137</v>
      </c>
      <c r="C128" s="88">
        <f t="shared" si="408"/>
        <v>0</v>
      </c>
      <c r="D128" s="38"/>
      <c r="E128" s="38"/>
      <c r="H128" s="38"/>
      <c r="I128" s="38"/>
      <c r="J128" s="38"/>
      <c r="K128" s="38"/>
      <c r="L128" s="38"/>
      <c r="M128" s="38"/>
      <c r="N128" s="38"/>
      <c r="O128" s="38"/>
      <c r="P128" s="38"/>
      <c r="Q128" s="89"/>
      <c r="R128" s="38"/>
      <c r="S128" s="38"/>
      <c r="T128" s="38"/>
      <c r="U128" s="38"/>
      <c r="V128" s="38"/>
      <c r="W128" s="38"/>
      <c r="X128" s="38"/>
      <c r="Y128" s="38"/>
      <c r="Z128" s="38"/>
      <c r="AA128" s="38"/>
      <c r="AB128" s="38"/>
      <c r="AC128" s="38"/>
      <c r="AD128" s="89"/>
      <c r="AE128" s="38"/>
      <c r="AF128" s="38"/>
      <c r="AG128" s="38"/>
      <c r="AH128" s="38"/>
      <c r="AI128" s="38"/>
      <c r="AJ128" s="38"/>
      <c r="AK128" s="38"/>
      <c r="AL128" s="38"/>
      <c r="AM128" s="38"/>
      <c r="AN128" s="38"/>
      <c r="AO128" s="38"/>
      <c r="AP128" s="38"/>
      <c r="AQ128" s="615">
        <f t="shared" si="403"/>
        <v>0</v>
      </c>
      <c r="AR128" s="38"/>
      <c r="AS128" s="38"/>
      <c r="AT128" s="38"/>
      <c r="AU128" s="38"/>
      <c r="AV128" s="38"/>
      <c r="AW128" s="38"/>
      <c r="AX128" s="38"/>
      <c r="AY128" s="38"/>
      <c r="AZ128" s="38"/>
      <c r="BA128" s="38"/>
      <c r="BB128" s="38"/>
      <c r="BC128" s="38"/>
      <c r="BD128" s="89">
        <f t="shared" si="410"/>
        <v>0</v>
      </c>
      <c r="BE128" s="38"/>
      <c r="BF128" s="38"/>
      <c r="BG128" s="38"/>
      <c r="BH128" s="38"/>
      <c r="BI128" s="38"/>
      <c r="BJ128" s="38"/>
      <c r="BK128" s="38"/>
      <c r="BL128" s="38"/>
      <c r="BM128" s="38"/>
      <c r="BN128" s="38"/>
      <c r="BO128" s="38"/>
      <c r="BP128" s="38"/>
      <c r="BQ128" s="89"/>
      <c r="BR128" s="38"/>
      <c r="BS128" s="38"/>
      <c r="BT128" s="38"/>
      <c r="BU128" s="38"/>
      <c r="BV128" s="38"/>
      <c r="BW128" s="38"/>
      <c r="BX128" s="38"/>
      <c r="BY128" s="38"/>
      <c r="BZ128" s="38"/>
      <c r="CA128" s="38"/>
      <c r="CB128" s="38"/>
      <c r="CC128" s="38"/>
      <c r="CD128" s="89">
        <f t="shared" si="411"/>
        <v>0</v>
      </c>
      <c r="CE128" s="38"/>
      <c r="CF128" s="38"/>
      <c r="CG128" s="38"/>
      <c r="CH128" s="38"/>
      <c r="CI128" s="38"/>
      <c r="CJ128" s="38"/>
      <c r="CK128" s="38"/>
      <c r="CL128" s="38"/>
      <c r="CM128" s="38"/>
      <c r="CN128" s="38"/>
      <c r="CO128" s="38"/>
      <c r="CP128" s="38"/>
      <c r="CQ128" s="89">
        <f t="shared" si="414"/>
        <v>0</v>
      </c>
      <c r="CR128" s="38"/>
      <c r="CS128" s="38"/>
      <c r="CT128" s="38"/>
      <c r="CU128" s="38"/>
      <c r="CV128" s="38"/>
      <c r="CW128" s="38"/>
      <c r="CX128" s="38"/>
      <c r="CY128" s="38"/>
      <c r="CZ128" s="38"/>
      <c r="DA128" s="38"/>
      <c r="DB128" s="38"/>
      <c r="DC128" s="38"/>
      <c r="DD128" s="89"/>
    </row>
    <row r="129" spans="1:114" ht="14.25" hidden="1" customHeight="1" outlineLevel="2" x14ac:dyDescent="0.4">
      <c r="A129" s="37"/>
      <c r="B129" t="s">
        <v>138</v>
      </c>
      <c r="C129" s="88">
        <f t="shared" si="408"/>
        <v>0</v>
      </c>
      <c r="D129" s="38"/>
      <c r="E129" s="38"/>
      <c r="H129" s="38"/>
      <c r="I129" s="38"/>
      <c r="J129" s="38"/>
      <c r="K129" s="38"/>
      <c r="L129" s="38"/>
      <c r="M129" s="38"/>
      <c r="N129" s="38"/>
      <c r="O129" s="38"/>
      <c r="P129" s="38"/>
      <c r="Q129" s="89"/>
      <c r="R129" s="38"/>
      <c r="S129" s="38"/>
      <c r="T129" s="38"/>
      <c r="U129" s="38"/>
      <c r="V129" s="38"/>
      <c r="W129" s="38"/>
      <c r="X129" s="38"/>
      <c r="Y129" s="38"/>
      <c r="Z129" s="38"/>
      <c r="AA129" s="38"/>
      <c r="AB129" s="38"/>
      <c r="AC129" s="38"/>
      <c r="AD129" s="89"/>
      <c r="AE129" s="38"/>
      <c r="AF129" s="38"/>
      <c r="AG129" s="38"/>
      <c r="AH129" s="38"/>
      <c r="AI129" s="38"/>
      <c r="AJ129" s="38"/>
      <c r="AK129" s="38"/>
      <c r="AL129" s="38"/>
      <c r="AM129" s="38"/>
      <c r="AN129" s="38"/>
      <c r="AO129" s="38"/>
      <c r="AP129" s="38"/>
      <c r="AQ129" s="615">
        <f t="shared" si="403"/>
        <v>0</v>
      </c>
      <c r="AR129" s="38"/>
      <c r="AS129" s="38"/>
      <c r="AT129" s="38"/>
      <c r="AU129" s="38"/>
      <c r="AV129" s="38"/>
      <c r="AW129" s="38"/>
      <c r="AX129" s="38"/>
      <c r="AY129" s="38"/>
      <c r="AZ129" s="38"/>
      <c r="BA129" s="38"/>
      <c r="BB129" s="38"/>
      <c r="BC129" s="38"/>
      <c r="BD129" s="89">
        <f t="shared" si="410"/>
        <v>0</v>
      </c>
      <c r="BE129" s="38"/>
      <c r="BF129" s="38"/>
      <c r="BG129" s="38"/>
      <c r="BH129" s="38"/>
      <c r="BI129" s="38"/>
      <c r="BJ129" s="38"/>
      <c r="BK129" s="38"/>
      <c r="BL129" s="38"/>
      <c r="BM129" s="38"/>
      <c r="BN129" s="38"/>
      <c r="BO129" s="38"/>
      <c r="BP129" s="38"/>
      <c r="BQ129" s="89"/>
      <c r="BR129" s="38"/>
      <c r="BS129" s="38"/>
      <c r="BT129" s="38"/>
      <c r="BU129" s="38"/>
      <c r="BV129" s="38"/>
      <c r="BW129" s="38"/>
      <c r="BX129" s="38"/>
      <c r="BY129" s="38"/>
      <c r="BZ129" s="38"/>
      <c r="CA129" s="38"/>
      <c r="CB129" s="38"/>
      <c r="CC129" s="38"/>
      <c r="CD129" s="89">
        <f t="shared" si="411"/>
        <v>0</v>
      </c>
      <c r="CE129" s="38"/>
      <c r="CF129" s="38"/>
      <c r="CG129" s="38"/>
      <c r="CH129" s="38"/>
      <c r="CI129" s="38"/>
      <c r="CJ129" s="38"/>
      <c r="CK129" s="38"/>
      <c r="CL129" s="38"/>
      <c r="CM129" s="38"/>
      <c r="CN129" s="38"/>
      <c r="CO129" s="38"/>
      <c r="CP129" s="38"/>
      <c r="CQ129" s="89">
        <f t="shared" si="414"/>
        <v>0</v>
      </c>
      <c r="CR129" s="38"/>
      <c r="CS129" s="38"/>
      <c r="CT129" s="38"/>
      <c r="CU129" s="38"/>
      <c r="CV129" s="38"/>
      <c r="CW129" s="38"/>
      <c r="CX129" s="38"/>
      <c r="CY129" s="38"/>
      <c r="CZ129" s="38"/>
      <c r="DA129" s="38"/>
      <c r="DB129" s="38"/>
      <c r="DC129" s="38"/>
      <c r="DD129" s="89"/>
    </row>
    <row r="130" spans="1:114" ht="14.25" hidden="1" customHeight="1" outlineLevel="2" x14ac:dyDescent="0.4">
      <c r="A130" s="37"/>
      <c r="B130" t="s">
        <v>139</v>
      </c>
      <c r="C130" s="88">
        <f t="shared" si="408"/>
        <v>0</v>
      </c>
      <c r="D130" s="38"/>
      <c r="E130" s="38"/>
      <c r="H130" s="38"/>
      <c r="I130" s="38"/>
      <c r="J130" s="38"/>
      <c r="K130" s="38"/>
      <c r="L130" s="38"/>
      <c r="M130" s="38"/>
      <c r="N130" s="38"/>
      <c r="O130" s="38"/>
      <c r="P130" s="38"/>
      <c r="Q130" s="89"/>
      <c r="R130" s="38"/>
      <c r="S130" s="38"/>
      <c r="T130" s="38"/>
      <c r="U130" s="38"/>
      <c r="V130" s="38"/>
      <c r="W130" s="38"/>
      <c r="X130" s="38"/>
      <c r="Y130" s="38"/>
      <c r="Z130" s="38"/>
      <c r="AA130" s="38"/>
      <c r="AB130" s="38"/>
      <c r="AC130" s="38"/>
      <c r="AD130" s="89"/>
      <c r="AE130" s="38"/>
      <c r="AF130" s="38"/>
      <c r="AG130" s="38"/>
      <c r="AH130" s="38"/>
      <c r="AI130" s="38"/>
      <c r="AJ130" s="38"/>
      <c r="AK130" s="38"/>
      <c r="AL130" s="38"/>
      <c r="AM130" s="38"/>
      <c r="AN130" s="38"/>
      <c r="AO130" s="38"/>
      <c r="AP130" s="38"/>
      <c r="AQ130" s="615">
        <f t="shared" si="403"/>
        <v>0</v>
      </c>
      <c r="AR130" s="38"/>
      <c r="AS130" s="38"/>
      <c r="AT130" s="38"/>
      <c r="AU130" s="38"/>
      <c r="AV130" s="38"/>
      <c r="AW130" s="38"/>
      <c r="AX130" s="38"/>
      <c r="AY130" s="38"/>
      <c r="AZ130" s="38"/>
      <c r="BA130" s="38"/>
      <c r="BB130" s="38"/>
      <c r="BC130" s="38"/>
      <c r="BD130" s="89">
        <f t="shared" si="410"/>
        <v>0</v>
      </c>
      <c r="BE130" s="38"/>
      <c r="BF130" s="38"/>
      <c r="BG130" s="38"/>
      <c r="BH130" s="38"/>
      <c r="BI130" s="38"/>
      <c r="BJ130" s="38"/>
      <c r="BK130" s="38"/>
      <c r="BL130" s="38"/>
      <c r="BM130" s="38"/>
      <c r="BN130" s="38"/>
      <c r="BO130" s="38"/>
      <c r="BP130" s="38"/>
      <c r="BQ130" s="89"/>
      <c r="BR130" s="38"/>
      <c r="BS130" s="38"/>
      <c r="BT130" s="38"/>
      <c r="BU130" s="38"/>
      <c r="BV130" s="38"/>
      <c r="BW130" s="38"/>
      <c r="BX130" s="38"/>
      <c r="BY130" s="38"/>
      <c r="BZ130" s="38"/>
      <c r="CA130" s="38"/>
      <c r="CB130" s="38"/>
      <c r="CC130" s="38"/>
      <c r="CD130" s="89">
        <f t="shared" si="411"/>
        <v>0</v>
      </c>
      <c r="CE130" s="38"/>
      <c r="CF130" s="38"/>
      <c r="CG130" s="38"/>
      <c r="CH130" s="38"/>
      <c r="CI130" s="38"/>
      <c r="CJ130" s="38"/>
      <c r="CK130" s="38"/>
      <c r="CL130" s="38"/>
      <c r="CM130" s="38"/>
      <c r="CN130" s="38"/>
      <c r="CO130" s="38"/>
      <c r="CP130" s="38"/>
      <c r="CQ130" s="89">
        <f t="shared" si="414"/>
        <v>0</v>
      </c>
      <c r="CR130" s="38"/>
      <c r="CS130" s="38"/>
      <c r="CT130" s="38"/>
      <c r="CU130" s="38"/>
      <c r="CV130" s="38"/>
      <c r="CW130" s="38"/>
      <c r="CX130" s="38"/>
      <c r="CY130" s="38"/>
      <c r="CZ130" s="38"/>
      <c r="DA130" s="38"/>
      <c r="DB130" s="38"/>
      <c r="DC130" s="38"/>
      <c r="DD130" s="89"/>
    </row>
    <row r="131" spans="1:114" ht="14.25" hidden="1" customHeight="1" outlineLevel="2" x14ac:dyDescent="0.4">
      <c r="A131" s="37"/>
      <c r="B131" t="s">
        <v>140</v>
      </c>
      <c r="C131" s="88">
        <f t="shared" si="408"/>
        <v>0</v>
      </c>
      <c r="D131" s="38"/>
      <c r="E131" s="38"/>
      <c r="H131" s="38"/>
      <c r="I131" s="38"/>
      <c r="J131" s="38"/>
      <c r="K131" s="38"/>
      <c r="L131" s="38"/>
      <c r="M131" s="38"/>
      <c r="N131" s="38"/>
      <c r="O131" s="38"/>
      <c r="P131" s="38"/>
      <c r="Q131" s="89"/>
      <c r="R131" s="38"/>
      <c r="S131" s="38"/>
      <c r="T131" s="38"/>
      <c r="U131" s="38"/>
      <c r="V131" s="38"/>
      <c r="W131" s="38"/>
      <c r="X131" s="38"/>
      <c r="Y131" s="38"/>
      <c r="Z131" s="38"/>
      <c r="AA131" s="38"/>
      <c r="AB131" s="38"/>
      <c r="AC131" s="38"/>
      <c r="AD131" s="89">
        <f t="shared" si="409"/>
        <v>0</v>
      </c>
      <c r="AE131" s="38"/>
      <c r="AF131" s="38"/>
      <c r="AG131" s="38"/>
      <c r="AH131" s="38"/>
      <c r="AI131" s="38"/>
      <c r="AJ131" s="38"/>
      <c r="AK131" s="38"/>
      <c r="AL131" s="38"/>
      <c r="AM131" s="38"/>
      <c r="AN131" s="38">
        <f>'Sukuk Invest. &amp; Secured Notes'!AA130</f>
        <v>0</v>
      </c>
      <c r="AO131" s="38">
        <f>'Sukuk Invest. &amp; Secured Notes'!AB130</f>
        <v>0</v>
      </c>
      <c r="AP131" s="38">
        <f>'Sukuk Invest. &amp; Secured Notes'!AC130</f>
        <v>0</v>
      </c>
      <c r="AQ131" s="615">
        <f t="shared" si="403"/>
        <v>0</v>
      </c>
      <c r="AR131" s="38">
        <f>'Sukuk Invest. &amp; Secured Notes'!AD130</f>
        <v>0</v>
      </c>
      <c r="AS131" s="38">
        <f>'Sukuk Invest. &amp; Secured Notes'!AE130</f>
        <v>0</v>
      </c>
      <c r="AT131" s="38">
        <f>'Sukuk Invest. &amp; Secured Notes'!AF130</f>
        <v>0</v>
      </c>
      <c r="AU131" s="38">
        <f>'Sukuk Invest. &amp; Secured Notes'!AG130</f>
        <v>0</v>
      </c>
      <c r="AV131" s="38">
        <f>'Sukuk Invest. &amp; Secured Notes'!AH130</f>
        <v>0</v>
      </c>
      <c r="AW131" s="38">
        <f>'Sukuk Invest. &amp; Secured Notes'!AI130</f>
        <v>0</v>
      </c>
      <c r="AX131" s="38">
        <f>'Sukuk Invest. &amp; Secured Notes'!AJ130</f>
        <v>0</v>
      </c>
      <c r="AY131" s="38">
        <f>'Sukuk Invest. &amp; Secured Notes'!AK130</f>
        <v>0</v>
      </c>
      <c r="AZ131" s="38">
        <f>'Sukuk Invest. &amp; Secured Notes'!AL130</f>
        <v>0</v>
      </c>
      <c r="BA131" s="38">
        <f>'Sukuk Invest. &amp; Secured Notes'!AM130</f>
        <v>0</v>
      </c>
      <c r="BB131" s="38">
        <f>'Sukuk Invest. &amp; Secured Notes'!AN130</f>
        <v>0</v>
      </c>
      <c r="BC131" s="38">
        <f>'Sukuk Invest. &amp; Secured Notes'!AO130</f>
        <v>0</v>
      </c>
      <c r="BD131" s="89">
        <f t="shared" si="410"/>
        <v>0</v>
      </c>
      <c r="BE131" s="38">
        <f>'Sukuk Invest. &amp; Secured Notes'!AP130</f>
        <v>0</v>
      </c>
      <c r="BF131" s="38">
        <f>'Sukuk Invest. &amp; Secured Notes'!AQ130</f>
        <v>0</v>
      </c>
      <c r="BG131" s="38">
        <f>'Sukuk Invest. &amp; Secured Notes'!AR130</f>
        <v>0</v>
      </c>
      <c r="BH131" s="38">
        <f>'Sukuk Invest. &amp; Secured Notes'!AS130</f>
        <v>0</v>
      </c>
      <c r="BI131" s="38">
        <f>'Sukuk Invest. &amp; Secured Notes'!AT130</f>
        <v>0</v>
      </c>
      <c r="BJ131" s="38">
        <f>'Sukuk Invest. &amp; Secured Notes'!AU130</f>
        <v>0</v>
      </c>
      <c r="BK131" s="38">
        <f>'Sukuk Invest. &amp; Secured Notes'!AV130</f>
        <v>0</v>
      </c>
      <c r="BL131" s="38">
        <f>'Sukuk Invest. &amp; Secured Notes'!AW130</f>
        <v>0</v>
      </c>
      <c r="BM131" s="38">
        <f>'Sukuk Invest. &amp; Secured Notes'!AX130</f>
        <v>0</v>
      </c>
      <c r="BN131" s="38">
        <f>'Sukuk Invest. &amp; Secured Notes'!AY130</f>
        <v>0</v>
      </c>
      <c r="BO131" s="38">
        <f>'Sukuk Invest. &amp; Secured Notes'!AZ130</f>
        <v>0</v>
      </c>
      <c r="BP131" s="38">
        <f>'Sukuk Invest. &amp; Secured Notes'!BA130</f>
        <v>0</v>
      </c>
      <c r="BQ131" s="89">
        <f t="shared" si="413"/>
        <v>0</v>
      </c>
      <c r="BR131" s="38">
        <f>'Sukuk Invest. &amp; Secured Notes'!BB130</f>
        <v>0</v>
      </c>
      <c r="BS131" s="38">
        <f>'Sukuk Invest. &amp; Secured Notes'!BC130</f>
        <v>0</v>
      </c>
      <c r="BT131" s="38">
        <f>'Sukuk Invest. &amp; Secured Notes'!BD130</f>
        <v>0</v>
      </c>
      <c r="BU131" s="38">
        <f>'Sukuk Invest. &amp; Secured Notes'!BE130</f>
        <v>0</v>
      </c>
      <c r="BV131" s="38">
        <f>'Sukuk Invest. &amp; Secured Notes'!BF130</f>
        <v>0</v>
      </c>
      <c r="BW131" s="38">
        <f>'Sukuk Invest. &amp; Secured Notes'!BG130</f>
        <v>0</v>
      </c>
      <c r="BX131" s="38">
        <f>'Sukuk Invest. &amp; Secured Notes'!BH130</f>
        <v>0</v>
      </c>
      <c r="BY131" s="38">
        <f>'Sukuk Invest. &amp; Secured Notes'!BI130</f>
        <v>0</v>
      </c>
      <c r="BZ131" s="38">
        <f>'Sukuk Invest. &amp; Secured Notes'!BJ130</f>
        <v>0</v>
      </c>
      <c r="CA131" s="38">
        <f>'Sukuk Invest. &amp; Secured Notes'!BK130</f>
        <v>0</v>
      </c>
      <c r="CB131" s="38">
        <f>'Sukuk Invest. &amp; Secured Notes'!BL130</f>
        <v>0</v>
      </c>
      <c r="CC131" s="38">
        <f>'Sukuk Invest. &amp; Secured Notes'!BM130</f>
        <v>0</v>
      </c>
      <c r="CD131" s="89">
        <f t="shared" si="411"/>
        <v>0</v>
      </c>
      <c r="CE131" s="38">
        <f>'Sukuk Invest. &amp; Secured Notes'!BN130</f>
        <v>0</v>
      </c>
      <c r="CF131" s="38">
        <f>'Sukuk Invest. &amp; Secured Notes'!BO130</f>
        <v>0</v>
      </c>
      <c r="CG131" s="38">
        <f>'Sukuk Invest. &amp; Secured Notes'!BP130</f>
        <v>0</v>
      </c>
      <c r="CH131" s="38">
        <f>'Sukuk Invest. &amp; Secured Notes'!BQ130</f>
        <v>0</v>
      </c>
      <c r="CI131" s="38">
        <f>'Sukuk Invest. &amp; Secured Notes'!BR130</f>
        <v>0</v>
      </c>
      <c r="CJ131" s="38">
        <f>'Sukuk Invest. &amp; Secured Notes'!BS130</f>
        <v>0</v>
      </c>
      <c r="CK131" s="38">
        <f>'Sukuk Invest. &amp; Secured Notes'!BT130</f>
        <v>0</v>
      </c>
      <c r="CL131" s="38">
        <f>'Sukuk Invest. &amp; Secured Notes'!BU130</f>
        <v>0</v>
      </c>
      <c r="CM131" s="38">
        <f>'Sukuk Invest. &amp; Secured Notes'!BV130</f>
        <v>0</v>
      </c>
      <c r="CN131" s="38">
        <f>'Sukuk Invest. &amp; Secured Notes'!BW130</f>
        <v>0</v>
      </c>
      <c r="CO131" s="38">
        <f>'Sukuk Invest. &amp; Secured Notes'!BX130</f>
        <v>0</v>
      </c>
      <c r="CP131" s="38">
        <f>'Sukuk Invest. &amp; Secured Notes'!BY130</f>
        <v>0</v>
      </c>
      <c r="CQ131" s="89">
        <f t="shared" si="414"/>
        <v>0</v>
      </c>
      <c r="CR131" s="38"/>
      <c r="CS131" s="38"/>
      <c r="CT131" s="38"/>
      <c r="CU131" s="38"/>
      <c r="CV131" s="38"/>
      <c r="CW131" s="38"/>
      <c r="CX131" s="38"/>
      <c r="CY131" s="38"/>
      <c r="CZ131" s="38"/>
      <c r="DA131" s="38"/>
      <c r="DB131" s="38"/>
      <c r="DC131" s="38"/>
      <c r="DD131" s="89"/>
    </row>
    <row r="132" spans="1:114" ht="14.25" hidden="1" customHeight="1" outlineLevel="2" x14ac:dyDescent="0.4">
      <c r="A132" s="37"/>
      <c r="B132" t="s">
        <v>141</v>
      </c>
      <c r="C132" s="88">
        <f t="shared" si="408"/>
        <v>0</v>
      </c>
      <c r="D132" s="38"/>
      <c r="E132" s="38"/>
      <c r="H132" s="38"/>
      <c r="I132" s="38"/>
      <c r="J132" s="38"/>
      <c r="K132" s="38"/>
      <c r="L132" s="38"/>
      <c r="M132" s="38"/>
      <c r="N132" s="38"/>
      <c r="P132" s="38"/>
      <c r="Q132" s="89"/>
      <c r="R132" s="38"/>
      <c r="S132" s="38"/>
      <c r="T132" s="38"/>
      <c r="U132" s="38"/>
      <c r="V132" s="38"/>
      <c r="W132" s="38"/>
      <c r="X132" s="38"/>
      <c r="Y132" s="38"/>
      <c r="Z132" s="38"/>
      <c r="AA132" s="38"/>
      <c r="AB132" s="38"/>
      <c r="AC132" s="38"/>
      <c r="AD132" s="89">
        <f t="shared" si="409"/>
        <v>0</v>
      </c>
      <c r="AE132" s="38"/>
      <c r="AF132" s="38"/>
      <c r="AG132" s="38"/>
      <c r="AH132" s="38"/>
      <c r="AI132" s="38"/>
      <c r="AJ132" s="38"/>
      <c r="AK132" s="38"/>
      <c r="AL132" s="38"/>
      <c r="AM132" s="38"/>
      <c r="AN132" s="38">
        <f>-'Sukuk Invest. &amp; Secured Notes'!AA131</f>
        <v>0</v>
      </c>
      <c r="AO132" s="38">
        <f>-'Sukuk Invest. &amp; Secured Notes'!AB131</f>
        <v>0</v>
      </c>
      <c r="AP132" s="38">
        <f>-'Sukuk Invest. &amp; Secured Notes'!AC131</f>
        <v>0</v>
      </c>
      <c r="AQ132" s="615">
        <f t="shared" si="403"/>
        <v>0</v>
      </c>
      <c r="AR132" s="38">
        <f>-'Sukuk Invest. &amp; Secured Notes'!AD131</f>
        <v>0</v>
      </c>
      <c r="AS132" s="38">
        <f>-'Sukuk Invest. &amp; Secured Notes'!AE131</f>
        <v>0</v>
      </c>
      <c r="AT132" s="38">
        <f>-'Sukuk Invest. &amp; Secured Notes'!AF131</f>
        <v>0</v>
      </c>
      <c r="AU132" s="38">
        <f>-'Sukuk Invest. &amp; Secured Notes'!AG131</f>
        <v>0</v>
      </c>
      <c r="AV132" s="38">
        <f>-'Sukuk Invest. &amp; Secured Notes'!AH131</f>
        <v>0</v>
      </c>
      <c r="AW132" s="38">
        <f>-'Sukuk Invest. &amp; Secured Notes'!AI131</f>
        <v>0</v>
      </c>
      <c r="AX132" s="38">
        <f>-'Sukuk Invest. &amp; Secured Notes'!AJ131</f>
        <v>0</v>
      </c>
      <c r="AY132" s="38">
        <f>-'Sukuk Invest. &amp; Secured Notes'!AK131</f>
        <v>0</v>
      </c>
      <c r="AZ132" s="38">
        <f>-'Sukuk Invest. &amp; Secured Notes'!AL131</f>
        <v>0</v>
      </c>
      <c r="BA132" s="38">
        <f>-'Sukuk Invest. &amp; Secured Notes'!AM131</f>
        <v>0</v>
      </c>
      <c r="BB132" s="38">
        <f>-'Sukuk Invest. &amp; Secured Notes'!AN131</f>
        <v>0</v>
      </c>
      <c r="BC132" s="38">
        <f>-'Sukuk Invest. &amp; Secured Notes'!AO131</f>
        <v>0</v>
      </c>
      <c r="BD132" s="89">
        <f t="shared" si="410"/>
        <v>0</v>
      </c>
      <c r="BE132" s="38">
        <f>-'Sukuk Invest. &amp; Secured Notes'!AP131</f>
        <v>0</v>
      </c>
      <c r="BF132" s="38">
        <f>-'Sukuk Invest. &amp; Secured Notes'!AQ131</f>
        <v>0</v>
      </c>
      <c r="BG132" s="38">
        <f>-'Sukuk Invest. &amp; Secured Notes'!AR131</f>
        <v>0</v>
      </c>
      <c r="BH132" s="38">
        <f>-'Sukuk Invest. &amp; Secured Notes'!AS131</f>
        <v>0</v>
      </c>
      <c r="BI132" s="38">
        <f>-'Sukuk Invest. &amp; Secured Notes'!AT131</f>
        <v>0</v>
      </c>
      <c r="BJ132" s="38">
        <f>-'Sukuk Invest. &amp; Secured Notes'!AU131</f>
        <v>0</v>
      </c>
      <c r="BK132" s="38">
        <f>-'Sukuk Invest. &amp; Secured Notes'!AV131</f>
        <v>0</v>
      </c>
      <c r="BL132" s="38">
        <f>-'Sukuk Invest. &amp; Secured Notes'!AW131</f>
        <v>0</v>
      </c>
      <c r="BM132" s="38">
        <f>-'Sukuk Invest. &amp; Secured Notes'!AX131</f>
        <v>0</v>
      </c>
      <c r="BN132" s="38">
        <f>-'Sukuk Invest. &amp; Secured Notes'!AY131</f>
        <v>0</v>
      </c>
      <c r="BO132" s="38">
        <f>-'Sukuk Invest. &amp; Secured Notes'!AZ131</f>
        <v>0</v>
      </c>
      <c r="BP132" s="38">
        <f>-'Sukuk Invest. &amp; Secured Notes'!BA131</f>
        <v>0</v>
      </c>
      <c r="BQ132" s="89">
        <f t="shared" si="413"/>
        <v>0</v>
      </c>
      <c r="BR132" s="38">
        <f>-'Sukuk Invest. &amp; Secured Notes'!BB131</f>
        <v>0</v>
      </c>
      <c r="BS132" s="38">
        <f>-'Sukuk Invest. &amp; Secured Notes'!BC131</f>
        <v>0</v>
      </c>
      <c r="BT132" s="38">
        <f>-'Sukuk Invest. &amp; Secured Notes'!BD131</f>
        <v>0</v>
      </c>
      <c r="BU132" s="38">
        <f>-'Sukuk Invest. &amp; Secured Notes'!BE131</f>
        <v>0</v>
      </c>
      <c r="BV132" s="38">
        <f>-'Sukuk Invest. &amp; Secured Notes'!BF131</f>
        <v>0</v>
      </c>
      <c r="BW132" s="38">
        <f>-'Sukuk Invest. &amp; Secured Notes'!BG131</f>
        <v>0</v>
      </c>
      <c r="BX132" s="38">
        <f>-'Sukuk Invest. &amp; Secured Notes'!BH131</f>
        <v>0</v>
      </c>
      <c r="BY132" s="38">
        <f>-'Sukuk Invest. &amp; Secured Notes'!BI131</f>
        <v>0</v>
      </c>
      <c r="BZ132" s="38">
        <f>-'Sukuk Invest. &amp; Secured Notes'!BJ131</f>
        <v>0</v>
      </c>
      <c r="CA132" s="38">
        <f>-'Sukuk Invest. &amp; Secured Notes'!BK131</f>
        <v>0</v>
      </c>
      <c r="CB132" s="38">
        <f>-'Sukuk Invest. &amp; Secured Notes'!BL131</f>
        <v>0</v>
      </c>
      <c r="CC132" s="38">
        <f>-'Sukuk Invest. &amp; Secured Notes'!BM131</f>
        <v>0</v>
      </c>
      <c r="CD132" s="89">
        <f t="shared" si="411"/>
        <v>0</v>
      </c>
      <c r="CE132" s="38">
        <f>-'Sukuk Invest. &amp; Secured Notes'!BN131</f>
        <v>0</v>
      </c>
      <c r="CF132" s="38">
        <f>-'Sukuk Invest. &amp; Secured Notes'!BO131</f>
        <v>0</v>
      </c>
      <c r="CG132" s="38">
        <f>-'Sukuk Invest. &amp; Secured Notes'!BP131</f>
        <v>0</v>
      </c>
      <c r="CH132" s="38">
        <f>-'Sukuk Invest. &amp; Secured Notes'!BQ131</f>
        <v>0</v>
      </c>
      <c r="CI132" s="38">
        <f>-'Sukuk Invest. &amp; Secured Notes'!BR131</f>
        <v>0</v>
      </c>
      <c r="CJ132" s="38">
        <f>-'Sukuk Invest. &amp; Secured Notes'!BS131</f>
        <v>0</v>
      </c>
      <c r="CK132" s="38">
        <f>-'Sukuk Invest. &amp; Secured Notes'!BT131</f>
        <v>0</v>
      </c>
      <c r="CL132" s="38">
        <f>-'Sukuk Invest. &amp; Secured Notes'!BU131</f>
        <v>0</v>
      </c>
      <c r="CM132" s="38">
        <f>-'Sukuk Invest. &amp; Secured Notes'!BV131</f>
        <v>0</v>
      </c>
      <c r="CN132" s="38">
        <f>-'Sukuk Invest. &amp; Secured Notes'!BW131</f>
        <v>0</v>
      </c>
      <c r="CO132" s="38">
        <f>-'Sukuk Invest. &amp; Secured Notes'!BX131</f>
        <v>0</v>
      </c>
      <c r="CP132" s="38">
        <f>-'Sukuk Invest. &amp; Secured Notes'!BY131</f>
        <v>0</v>
      </c>
      <c r="CQ132" s="89">
        <f t="shared" si="414"/>
        <v>0</v>
      </c>
      <c r="CR132" s="38"/>
      <c r="CS132" s="38"/>
      <c r="CT132" s="38"/>
      <c r="CU132" s="38"/>
      <c r="CV132" s="38"/>
      <c r="CW132" s="38"/>
      <c r="CX132" s="38"/>
      <c r="CY132" s="38"/>
      <c r="CZ132" s="38"/>
      <c r="DA132" s="38"/>
      <c r="DB132" s="38"/>
      <c r="DC132" s="38"/>
      <c r="DD132" s="89"/>
    </row>
    <row r="133" spans="1:114" ht="14.25" hidden="1" customHeight="1" outlineLevel="2" x14ac:dyDescent="0.4">
      <c r="A133" s="37"/>
      <c r="B133" t="s">
        <v>142</v>
      </c>
      <c r="C133" s="88">
        <f t="shared" si="408"/>
        <v>0</v>
      </c>
      <c r="D133" s="38"/>
      <c r="E133" s="38"/>
      <c r="H133" s="38"/>
      <c r="I133" s="38"/>
      <c r="J133" s="38"/>
      <c r="K133" s="38"/>
      <c r="L133" s="38"/>
      <c r="M133" s="38"/>
      <c r="N133" s="38"/>
      <c r="O133" s="38"/>
      <c r="P133" s="38"/>
      <c r="Q133" s="89"/>
      <c r="R133" s="38"/>
      <c r="S133" s="38"/>
      <c r="T133" s="38"/>
      <c r="U133" s="38"/>
      <c r="V133" s="38"/>
      <c r="W133" s="38"/>
      <c r="X133" s="38"/>
      <c r="Y133" s="38"/>
      <c r="Z133" s="38"/>
      <c r="AA133" s="38"/>
      <c r="AB133" s="38"/>
      <c r="AC133" s="38"/>
      <c r="AD133" s="89"/>
      <c r="AE133" s="38"/>
      <c r="AF133" s="38"/>
      <c r="AG133" s="38"/>
      <c r="AH133" s="38"/>
      <c r="AI133" s="38"/>
      <c r="AJ133" s="38"/>
      <c r="AK133" s="38"/>
      <c r="AL133" s="38"/>
      <c r="AM133" s="38"/>
      <c r="AN133" s="38"/>
      <c r="AO133" s="38"/>
      <c r="AP133" s="38"/>
      <c r="AQ133" s="615">
        <f t="shared" si="403"/>
        <v>0</v>
      </c>
      <c r="AR133" s="38"/>
      <c r="AS133" s="38"/>
      <c r="AT133" s="38"/>
      <c r="AU133" s="38"/>
      <c r="AV133" s="38"/>
      <c r="AW133" s="38"/>
      <c r="AX133" s="38"/>
      <c r="AY133" s="38"/>
      <c r="AZ133" s="38"/>
      <c r="BA133" s="38"/>
      <c r="BB133" s="38"/>
      <c r="BC133" s="38"/>
      <c r="BD133" s="89">
        <f t="shared" si="410"/>
        <v>0</v>
      </c>
      <c r="BE133" s="38"/>
      <c r="BF133" s="38"/>
      <c r="BG133" s="38"/>
      <c r="BH133" s="38"/>
      <c r="BI133" s="38"/>
      <c r="BJ133" s="38"/>
      <c r="BK133" s="38"/>
      <c r="BL133" s="38"/>
      <c r="BM133" s="38"/>
      <c r="BN133" s="38"/>
      <c r="BO133" s="38"/>
      <c r="BP133" s="38"/>
      <c r="BQ133" s="89">
        <f t="shared" si="413"/>
        <v>0</v>
      </c>
      <c r="BR133" s="38"/>
      <c r="BS133" s="38"/>
      <c r="BT133" s="38"/>
      <c r="BU133" s="38"/>
      <c r="BV133" s="38"/>
      <c r="BW133" s="38"/>
      <c r="BX133" s="38"/>
      <c r="BY133" s="38"/>
      <c r="BZ133" s="38"/>
      <c r="CA133" s="38"/>
      <c r="CB133" s="38"/>
      <c r="CC133" s="38"/>
      <c r="CD133" s="89">
        <f t="shared" si="411"/>
        <v>0</v>
      </c>
      <c r="CE133" s="38"/>
      <c r="CF133" s="38"/>
      <c r="CG133" s="38"/>
      <c r="CH133" s="38"/>
      <c r="CI133" s="38"/>
      <c r="CJ133" s="38"/>
      <c r="CK133" s="38"/>
      <c r="CL133" s="38"/>
      <c r="CM133" s="38"/>
      <c r="CN133" s="38"/>
      <c r="CO133" s="38"/>
      <c r="CP133" s="38"/>
      <c r="CQ133" s="89">
        <f t="shared" si="414"/>
        <v>0</v>
      </c>
      <c r="CR133" s="38"/>
      <c r="CS133" s="38"/>
      <c r="CT133" s="38"/>
      <c r="CU133" s="38"/>
      <c r="CV133" s="38"/>
      <c r="CW133" s="38"/>
      <c r="CX133" s="38"/>
      <c r="CY133" s="38"/>
      <c r="CZ133" s="38"/>
      <c r="DA133" s="38"/>
      <c r="DB133" s="38"/>
      <c r="DC133" s="38"/>
      <c r="DD133" s="89"/>
    </row>
    <row r="134" spans="1:114" ht="14.25" hidden="1" customHeight="1" outlineLevel="2" x14ac:dyDescent="0.4">
      <c r="A134" s="37"/>
      <c r="B134" t="s">
        <v>143</v>
      </c>
      <c r="C134" s="88">
        <f t="shared" si="408"/>
        <v>0</v>
      </c>
      <c r="D134" s="38"/>
      <c r="E134" s="38"/>
      <c r="H134" s="38"/>
      <c r="I134" s="38"/>
      <c r="J134" s="38"/>
      <c r="K134" s="38"/>
      <c r="L134" s="38"/>
      <c r="M134" s="38"/>
      <c r="N134" s="38"/>
      <c r="O134" s="38"/>
      <c r="Q134" s="89"/>
      <c r="AA134" s="38"/>
      <c r="AB134" s="38"/>
      <c r="AC134" s="38"/>
      <c r="AD134" s="89"/>
      <c r="AE134" s="38"/>
      <c r="AF134" s="38"/>
      <c r="AG134" s="38"/>
      <c r="AH134" s="38"/>
      <c r="AI134" s="38"/>
      <c r="AJ134" s="38"/>
      <c r="AK134" s="38"/>
      <c r="AL134" s="38"/>
      <c r="AM134" s="38"/>
      <c r="AN134" s="38"/>
      <c r="AO134" s="38"/>
      <c r="AP134" s="38"/>
      <c r="AQ134" s="615">
        <f t="shared" si="403"/>
        <v>0</v>
      </c>
      <c r="AR134" s="38"/>
      <c r="AS134" s="38"/>
      <c r="AT134" s="38"/>
      <c r="AU134" s="38"/>
      <c r="AV134" s="38"/>
      <c r="AW134" s="38"/>
      <c r="AX134" s="38"/>
      <c r="AY134" s="38"/>
      <c r="AZ134" s="38"/>
      <c r="BA134" s="38"/>
      <c r="BB134" s="38"/>
      <c r="BC134" s="38"/>
      <c r="BD134" s="89">
        <f t="shared" si="410"/>
        <v>0</v>
      </c>
      <c r="BE134" s="38"/>
      <c r="BF134" s="38"/>
      <c r="BG134" s="38"/>
      <c r="BH134" s="38"/>
      <c r="BI134" s="38"/>
      <c r="BJ134" s="38"/>
      <c r="BK134" s="38"/>
      <c r="BL134" s="38"/>
      <c r="BM134" s="38"/>
      <c r="BN134" s="38"/>
      <c r="BO134" s="38"/>
      <c r="BP134" s="38"/>
      <c r="BQ134" s="89">
        <f t="shared" si="413"/>
        <v>0</v>
      </c>
      <c r="BR134" s="38"/>
      <c r="BS134" s="38"/>
      <c r="BT134" s="38"/>
      <c r="BU134" s="38"/>
      <c r="BV134" s="38"/>
      <c r="BW134" s="38"/>
      <c r="BX134" s="38"/>
      <c r="BY134" s="38"/>
      <c r="BZ134" s="38"/>
      <c r="CA134" s="38"/>
      <c r="CB134" s="38"/>
      <c r="CC134" s="38"/>
      <c r="CD134" s="89">
        <f t="shared" si="411"/>
        <v>0</v>
      </c>
      <c r="CE134" s="38"/>
      <c r="CF134" s="38"/>
      <c r="CG134" s="38"/>
      <c r="CH134" s="38"/>
      <c r="CI134" s="38"/>
      <c r="CJ134" s="38"/>
      <c r="CK134" s="38"/>
      <c r="CL134" s="38"/>
      <c r="CM134" s="38"/>
      <c r="CN134" s="38"/>
      <c r="CO134" s="38"/>
      <c r="CP134" s="38"/>
      <c r="CQ134" s="89">
        <f t="shared" si="414"/>
        <v>0</v>
      </c>
      <c r="CR134" s="38"/>
      <c r="CS134" s="38"/>
      <c r="CT134" s="38"/>
      <c r="CU134" s="38"/>
      <c r="CV134" s="38"/>
      <c r="CW134" s="38"/>
      <c r="CX134" s="38"/>
      <c r="CY134" s="38"/>
      <c r="CZ134" s="38"/>
      <c r="DA134" s="38"/>
      <c r="DB134" s="38"/>
      <c r="DC134" s="38"/>
      <c r="DD134" s="89"/>
    </row>
    <row r="135" spans="1:114" ht="14.25" hidden="1" customHeight="1" outlineLevel="2" x14ac:dyDescent="0.4">
      <c r="A135" s="37"/>
      <c r="B135" t="s">
        <v>144</v>
      </c>
      <c r="C135" s="88">
        <f t="shared" si="408"/>
        <v>0</v>
      </c>
      <c r="D135" s="38"/>
      <c r="E135" s="38"/>
      <c r="H135" s="38"/>
      <c r="I135" s="38"/>
      <c r="J135" s="38"/>
      <c r="K135" s="38"/>
      <c r="L135" s="38"/>
      <c r="M135" s="38"/>
      <c r="N135" s="38"/>
      <c r="O135" s="38"/>
      <c r="P135" s="38"/>
      <c r="Q135" s="89"/>
      <c r="R135" s="38"/>
      <c r="S135" s="38"/>
      <c r="T135" s="38"/>
      <c r="U135" s="38"/>
      <c r="V135" s="38"/>
      <c r="W135" s="38"/>
      <c r="X135" s="38"/>
      <c r="Y135" s="38"/>
      <c r="Z135" s="38"/>
      <c r="AA135" s="38"/>
      <c r="AB135" s="38"/>
      <c r="AC135" s="38"/>
      <c r="AD135" s="89"/>
      <c r="AE135" s="38"/>
      <c r="AF135" s="38"/>
      <c r="AG135" s="38"/>
      <c r="AH135" s="38"/>
      <c r="AI135" s="38"/>
      <c r="AJ135" s="38"/>
      <c r="AK135" s="38"/>
      <c r="AL135" s="38"/>
      <c r="AM135" s="38"/>
      <c r="AN135" s="38"/>
      <c r="AO135" s="38"/>
      <c r="AP135" s="38"/>
      <c r="AQ135" s="615">
        <f t="shared" si="403"/>
        <v>0</v>
      </c>
      <c r="AR135" s="38"/>
      <c r="AS135" s="38"/>
      <c r="AT135" s="38"/>
      <c r="AU135" s="38"/>
      <c r="AV135" s="38"/>
      <c r="AW135" s="38"/>
      <c r="AX135" s="38"/>
      <c r="AY135" s="38"/>
      <c r="AZ135" s="38"/>
      <c r="BA135" s="38"/>
      <c r="BB135" s="38"/>
      <c r="BC135" s="38"/>
      <c r="BD135" s="89">
        <f t="shared" si="410"/>
        <v>0</v>
      </c>
      <c r="BE135" s="38"/>
      <c r="BF135" s="38"/>
      <c r="BG135" s="38"/>
      <c r="BH135" s="38"/>
      <c r="BI135" s="38"/>
      <c r="BJ135" s="38"/>
      <c r="BK135" s="38"/>
      <c r="BL135" s="38"/>
      <c r="BM135" s="38"/>
      <c r="BN135" s="38"/>
      <c r="BO135" s="38"/>
      <c r="BP135" s="38"/>
      <c r="BQ135" s="89">
        <f t="shared" si="413"/>
        <v>0</v>
      </c>
      <c r="BR135" s="38"/>
      <c r="BS135" s="38"/>
      <c r="BT135" s="38"/>
      <c r="BU135" s="38"/>
      <c r="BV135" s="38"/>
      <c r="BW135" s="38"/>
      <c r="BX135" s="38"/>
      <c r="BY135" s="38"/>
      <c r="BZ135" s="38"/>
      <c r="CA135" s="38"/>
      <c r="CB135" s="38"/>
      <c r="CC135" s="38"/>
      <c r="CD135" s="89">
        <f t="shared" si="411"/>
        <v>0</v>
      </c>
      <c r="CE135" s="38"/>
      <c r="CF135" s="38"/>
      <c r="CG135" s="38"/>
      <c r="CH135" s="38"/>
      <c r="CI135" s="38"/>
      <c r="CJ135" s="38"/>
      <c r="CK135" s="38"/>
      <c r="CL135" s="38"/>
      <c r="CM135" s="38"/>
      <c r="CN135" s="38"/>
      <c r="CO135" s="38"/>
      <c r="CP135" s="38"/>
      <c r="CQ135" s="89">
        <f t="shared" si="414"/>
        <v>0</v>
      </c>
      <c r="CR135" s="38"/>
      <c r="CS135" s="38"/>
      <c r="CT135" s="38"/>
      <c r="CU135" s="38"/>
      <c r="CV135" s="38"/>
      <c r="CW135" s="38"/>
      <c r="CX135" s="38"/>
      <c r="CY135" s="38"/>
      <c r="CZ135" s="38"/>
      <c r="DA135" s="38"/>
      <c r="DB135" s="38"/>
      <c r="DC135" s="38"/>
      <c r="DD135" s="89"/>
    </row>
    <row r="136" spans="1:114" ht="13.5" hidden="1" customHeight="1" outlineLevel="2" x14ac:dyDescent="0.4">
      <c r="A136" s="37"/>
      <c r="B136" t="s">
        <v>145</v>
      </c>
      <c r="C136" s="88">
        <f t="shared" si="408"/>
        <v>0</v>
      </c>
      <c r="E136" s="38"/>
      <c r="H136" s="38"/>
      <c r="I136" s="38"/>
      <c r="J136" s="38"/>
      <c r="K136" s="38"/>
      <c r="L136" s="38"/>
      <c r="M136" s="38"/>
      <c r="N136" s="38"/>
      <c r="O136" s="38"/>
      <c r="P136" s="38"/>
      <c r="Q136" s="89"/>
      <c r="R136" s="38"/>
      <c r="S136" s="38"/>
      <c r="T136" s="38"/>
      <c r="U136" s="38"/>
      <c r="V136" s="38"/>
      <c r="W136" s="38"/>
      <c r="X136" s="38"/>
      <c r="Y136" s="38"/>
      <c r="Z136" s="38"/>
      <c r="AA136" s="38"/>
      <c r="AB136" s="38"/>
      <c r="AC136" s="38"/>
      <c r="AD136" s="89"/>
      <c r="AE136" s="38"/>
      <c r="AF136" s="38"/>
      <c r="AG136" s="38"/>
      <c r="AH136" s="38"/>
      <c r="AI136" s="38"/>
      <c r="AJ136" s="38"/>
      <c r="AK136" s="38"/>
      <c r="AL136" s="38"/>
      <c r="AM136" s="38"/>
      <c r="AN136" s="38"/>
      <c r="AO136" s="38"/>
      <c r="AP136" s="38"/>
      <c r="AQ136" s="615">
        <f t="shared" si="403"/>
        <v>0</v>
      </c>
      <c r="AR136" s="38"/>
      <c r="AS136" s="38"/>
      <c r="AT136" s="38"/>
      <c r="AU136" s="38"/>
      <c r="AV136" s="38"/>
      <c r="AW136" s="38"/>
      <c r="AX136" s="38"/>
      <c r="AY136" s="38"/>
      <c r="AZ136" s="38"/>
      <c r="BA136" s="38"/>
      <c r="BB136" s="38"/>
      <c r="BC136" s="38"/>
      <c r="BD136" s="89">
        <f t="shared" si="410"/>
        <v>0</v>
      </c>
      <c r="BE136" s="38"/>
      <c r="BF136" s="38"/>
      <c r="BG136" s="38"/>
      <c r="BH136" s="38"/>
      <c r="BI136" s="38"/>
      <c r="BJ136" s="38"/>
      <c r="BK136" s="38"/>
      <c r="BL136" s="38"/>
      <c r="BM136" s="38"/>
      <c r="BN136" s="38"/>
      <c r="BO136" s="38"/>
      <c r="BP136" s="38"/>
      <c r="BQ136" s="89">
        <f t="shared" si="413"/>
        <v>0</v>
      </c>
      <c r="BR136" s="38"/>
      <c r="BS136" s="38"/>
      <c r="BT136" s="38"/>
      <c r="BU136" s="38"/>
      <c r="BV136" s="38"/>
      <c r="BW136" s="38"/>
      <c r="BX136" s="38"/>
      <c r="BY136" s="38"/>
      <c r="BZ136" s="38"/>
      <c r="CA136" s="38"/>
      <c r="CB136" s="38"/>
      <c r="CC136" s="38"/>
      <c r="CD136" s="89">
        <f t="shared" si="411"/>
        <v>0</v>
      </c>
      <c r="CE136" s="38"/>
      <c r="CF136" s="38"/>
      <c r="CG136" s="38"/>
      <c r="CH136" s="38"/>
      <c r="CI136" s="38"/>
      <c r="CJ136" s="38"/>
      <c r="CK136" s="38"/>
      <c r="CL136" s="38"/>
      <c r="CM136" s="38"/>
      <c r="CN136" s="38"/>
      <c r="CO136" s="38"/>
      <c r="CP136" s="38"/>
      <c r="CQ136" s="89">
        <f t="shared" si="414"/>
        <v>0</v>
      </c>
      <c r="CR136" s="38"/>
      <c r="CS136" s="38"/>
      <c r="CT136" s="38"/>
      <c r="CU136" s="38"/>
      <c r="CV136" s="38"/>
      <c r="CW136" s="38"/>
      <c r="CX136" s="38"/>
      <c r="CY136" s="38"/>
      <c r="CZ136" s="38"/>
      <c r="DA136" s="38"/>
      <c r="DB136" s="38"/>
      <c r="DC136" s="38"/>
      <c r="DD136" s="89"/>
    </row>
    <row r="137" spans="1:114" ht="14.25" hidden="1" customHeight="1" outlineLevel="2" x14ac:dyDescent="0.4">
      <c r="A137" s="37"/>
      <c r="B137" t="s">
        <v>146</v>
      </c>
      <c r="C137" s="88">
        <f t="shared" si="408"/>
        <v>0</v>
      </c>
      <c r="D137" s="38"/>
      <c r="E137" s="38"/>
      <c r="H137" s="38"/>
      <c r="I137" s="38"/>
      <c r="J137" s="38"/>
      <c r="K137" s="38"/>
      <c r="L137" s="38"/>
      <c r="M137" s="38"/>
      <c r="N137" s="38"/>
      <c r="O137" s="38"/>
      <c r="P137" s="38"/>
      <c r="Q137" s="89"/>
      <c r="R137" s="38"/>
      <c r="S137" s="38"/>
      <c r="T137" s="38"/>
      <c r="U137" s="38"/>
      <c r="V137" s="38"/>
      <c r="W137" s="38"/>
      <c r="X137" s="38"/>
      <c r="Y137" s="38"/>
      <c r="Z137" s="38"/>
      <c r="AA137" s="38"/>
      <c r="AB137" s="38"/>
      <c r="AC137" s="38"/>
      <c r="AD137" s="89"/>
      <c r="AE137" s="38"/>
      <c r="AF137" s="38"/>
      <c r="AG137" s="38"/>
      <c r="AH137" s="38"/>
      <c r="AI137" s="38"/>
      <c r="AJ137" s="38"/>
      <c r="AK137" s="38"/>
      <c r="AL137" s="38"/>
      <c r="AM137" s="38"/>
      <c r="AN137" s="38"/>
      <c r="AO137" s="38"/>
      <c r="AP137" s="38"/>
      <c r="AQ137" s="615">
        <f t="shared" si="403"/>
        <v>0</v>
      </c>
      <c r="AR137" s="38"/>
      <c r="AS137" s="38"/>
      <c r="AT137" s="38"/>
      <c r="AU137" s="38"/>
      <c r="AV137" s="38"/>
      <c r="AW137" s="38"/>
      <c r="AX137" s="38"/>
      <c r="AY137" s="38"/>
      <c r="AZ137" s="38"/>
      <c r="BA137" s="38"/>
      <c r="BB137" s="38"/>
      <c r="BC137" s="38"/>
      <c r="BD137" s="89">
        <f t="shared" si="410"/>
        <v>0</v>
      </c>
      <c r="BE137" s="38"/>
      <c r="BF137" s="38"/>
      <c r="BG137" s="38"/>
      <c r="BH137" s="38"/>
      <c r="BI137" s="38"/>
      <c r="BJ137" s="38"/>
      <c r="BK137" s="38"/>
      <c r="BL137" s="38"/>
      <c r="BM137" s="38"/>
      <c r="BN137" s="38"/>
      <c r="BO137" s="38"/>
      <c r="BP137" s="38"/>
      <c r="BQ137" s="89">
        <f t="shared" si="413"/>
        <v>0</v>
      </c>
      <c r="BR137" s="38"/>
      <c r="BS137" s="38"/>
      <c r="BT137" s="38"/>
      <c r="BU137" s="38"/>
      <c r="BV137" s="38"/>
      <c r="BW137" s="38"/>
      <c r="BX137" s="38"/>
      <c r="BY137" s="38"/>
      <c r="BZ137" s="38"/>
      <c r="CA137" s="38"/>
      <c r="CB137" s="38"/>
      <c r="CC137" s="38"/>
      <c r="CD137" s="89">
        <f t="shared" si="411"/>
        <v>0</v>
      </c>
      <c r="CE137" s="38"/>
      <c r="CF137" s="38"/>
      <c r="CG137" s="38"/>
      <c r="CH137" s="38"/>
      <c r="CI137" s="38"/>
      <c r="CJ137" s="38"/>
      <c r="CK137" s="38"/>
      <c r="CL137" s="38"/>
      <c r="CM137" s="38"/>
      <c r="CN137" s="38"/>
      <c r="CO137" s="38"/>
      <c r="CP137" s="38"/>
      <c r="CQ137" s="89">
        <f t="shared" si="414"/>
        <v>0</v>
      </c>
      <c r="CR137" s="38"/>
      <c r="CS137" s="38"/>
      <c r="CT137" s="38"/>
      <c r="CU137" s="38"/>
      <c r="CV137" s="38"/>
      <c r="CW137" s="38"/>
      <c r="CX137" s="38"/>
      <c r="CY137" s="38"/>
      <c r="CZ137" s="38"/>
      <c r="DA137" s="38"/>
      <c r="DB137" s="38"/>
      <c r="DC137" s="38"/>
      <c r="DD137" s="89"/>
      <c r="DE137" s="38"/>
    </row>
    <row r="138" spans="1:114" ht="14.25" hidden="1" customHeight="1" outlineLevel="2" x14ac:dyDescent="0.4">
      <c r="A138" s="37"/>
      <c r="B138" t="s">
        <v>147</v>
      </c>
      <c r="C138" s="88">
        <f t="shared" si="408"/>
        <v>0</v>
      </c>
      <c r="D138" s="38"/>
      <c r="E138" s="38"/>
      <c r="H138" s="38"/>
      <c r="I138" s="38"/>
      <c r="J138" s="38"/>
      <c r="K138" s="38"/>
      <c r="L138" s="38"/>
      <c r="M138" s="38"/>
      <c r="N138" s="38"/>
      <c r="O138" s="38"/>
      <c r="P138" s="38"/>
      <c r="Q138" s="89"/>
      <c r="R138" s="38"/>
      <c r="S138" s="38"/>
      <c r="T138" s="38"/>
      <c r="U138" s="38"/>
      <c r="V138" s="38"/>
      <c r="W138" s="38"/>
      <c r="X138" s="38"/>
      <c r="Y138" s="38"/>
      <c r="Z138" s="38"/>
      <c r="AA138" s="38"/>
      <c r="AB138" s="38"/>
      <c r="AC138" s="38"/>
      <c r="AD138" s="89"/>
      <c r="AE138" s="38"/>
      <c r="AF138" s="38"/>
      <c r="AG138" s="38"/>
      <c r="AH138" s="38"/>
      <c r="AI138" s="38"/>
      <c r="AJ138" s="38"/>
      <c r="AK138" s="38"/>
      <c r="AL138" s="38"/>
      <c r="AM138" s="38"/>
      <c r="AN138" s="38"/>
      <c r="AO138" s="38"/>
      <c r="AP138" s="38"/>
      <c r="AQ138" s="615">
        <f t="shared" si="403"/>
        <v>0</v>
      </c>
      <c r="AR138" s="38"/>
      <c r="AS138" s="38"/>
      <c r="AT138" s="38"/>
      <c r="AU138" s="38"/>
      <c r="AV138" s="38"/>
      <c r="AW138" s="38"/>
      <c r="AX138" s="38"/>
      <c r="AY138" s="38"/>
      <c r="AZ138" s="38"/>
      <c r="BA138" s="38"/>
      <c r="BB138" s="38"/>
      <c r="BC138" s="38"/>
      <c r="BD138" s="89">
        <f t="shared" si="410"/>
        <v>0</v>
      </c>
      <c r="BE138" s="38"/>
      <c r="BF138" s="38"/>
      <c r="BG138" s="38"/>
      <c r="BH138" s="38"/>
      <c r="BI138" s="38"/>
      <c r="BJ138" s="38"/>
      <c r="BK138" s="38"/>
      <c r="BL138" s="38"/>
      <c r="BM138" s="38"/>
      <c r="BN138" s="38"/>
      <c r="BO138" s="38"/>
      <c r="BP138" s="38"/>
      <c r="BQ138" s="89">
        <f t="shared" si="413"/>
        <v>0</v>
      </c>
      <c r="BR138" s="38"/>
      <c r="BS138" s="38"/>
      <c r="BT138" s="38"/>
      <c r="BU138" s="38"/>
      <c r="BV138" s="38"/>
      <c r="BW138" s="38"/>
      <c r="BX138" s="38"/>
      <c r="BY138" s="38"/>
      <c r="BZ138" s="38"/>
      <c r="CA138" s="38"/>
      <c r="CB138" s="38"/>
      <c r="CC138" s="38"/>
      <c r="CD138" s="89">
        <f t="shared" si="411"/>
        <v>0</v>
      </c>
      <c r="CE138" s="38"/>
      <c r="CF138" s="38"/>
      <c r="CG138" s="38"/>
      <c r="CH138" s="38"/>
      <c r="CI138" s="38"/>
      <c r="CJ138" s="38"/>
      <c r="CK138" s="38"/>
      <c r="CL138" s="38"/>
      <c r="CM138" s="38"/>
      <c r="CN138" s="38"/>
      <c r="CO138" s="38"/>
      <c r="CP138" s="38"/>
      <c r="CQ138" s="89">
        <f t="shared" si="414"/>
        <v>0</v>
      </c>
      <c r="CR138" s="38"/>
      <c r="CS138" s="38"/>
      <c r="CT138" s="38"/>
      <c r="CU138" s="38"/>
      <c r="CV138" s="38"/>
      <c r="CW138" s="38"/>
      <c r="CX138" s="38"/>
      <c r="CY138" s="38"/>
      <c r="CZ138" s="38"/>
      <c r="DA138" s="38"/>
      <c r="DB138" s="38"/>
      <c r="DC138" s="38"/>
      <c r="DD138" s="89"/>
      <c r="DE138" s="38"/>
    </row>
    <row r="139" spans="1:114" ht="14.25" hidden="1" customHeight="1" outlineLevel="2" x14ac:dyDescent="0.4">
      <c r="A139" s="37"/>
      <c r="B139" t="s">
        <v>148</v>
      </c>
      <c r="C139" s="88">
        <f t="shared" si="408"/>
        <v>0</v>
      </c>
      <c r="D139" s="38"/>
      <c r="E139" s="38"/>
      <c r="H139" s="38"/>
      <c r="I139" s="38"/>
      <c r="J139" s="38"/>
      <c r="K139" s="38"/>
      <c r="L139" s="38"/>
      <c r="M139" s="38"/>
      <c r="N139" s="38"/>
      <c r="O139" s="38"/>
      <c r="P139" s="38"/>
      <c r="Q139" s="89"/>
      <c r="R139" s="38"/>
      <c r="S139" s="38"/>
      <c r="T139" s="38"/>
      <c r="U139" s="38"/>
      <c r="V139" s="38"/>
      <c r="W139" s="38"/>
      <c r="X139" s="38"/>
      <c r="Y139" s="38"/>
      <c r="Z139" s="38"/>
      <c r="AA139" s="38"/>
      <c r="AB139" s="38"/>
      <c r="AC139" s="38"/>
      <c r="AD139" s="89"/>
      <c r="AE139" s="38"/>
      <c r="AF139" s="38"/>
      <c r="AG139" s="38"/>
      <c r="AH139" s="38"/>
      <c r="AI139" s="38"/>
      <c r="AJ139" s="38"/>
      <c r="AK139" s="38"/>
      <c r="AL139" s="38"/>
      <c r="AM139" s="38"/>
      <c r="AN139" s="38"/>
      <c r="AO139" s="38"/>
      <c r="AP139" s="38"/>
      <c r="AQ139" s="615">
        <f t="shared" si="403"/>
        <v>0</v>
      </c>
      <c r="AR139" s="38"/>
      <c r="AS139" s="38"/>
      <c r="AT139" s="38"/>
      <c r="AU139" s="38"/>
      <c r="AV139" s="38"/>
      <c r="AW139" s="38"/>
      <c r="AX139" s="38"/>
      <c r="AY139" s="38"/>
      <c r="AZ139" s="38"/>
      <c r="BA139" s="38"/>
      <c r="BB139" s="38"/>
      <c r="BC139" s="38"/>
      <c r="BD139" s="89">
        <f t="shared" si="410"/>
        <v>0</v>
      </c>
      <c r="BE139" s="38"/>
      <c r="BF139" s="38"/>
      <c r="BG139" s="38"/>
      <c r="BH139" s="38"/>
      <c r="BI139" s="38"/>
      <c r="BJ139" s="38"/>
      <c r="BK139" s="38"/>
      <c r="BL139" s="38"/>
      <c r="BM139" s="38"/>
      <c r="BN139" s="38"/>
      <c r="BO139" s="38"/>
      <c r="BP139" s="38"/>
      <c r="BQ139" s="89">
        <f t="shared" si="413"/>
        <v>0</v>
      </c>
      <c r="BR139" s="38"/>
      <c r="BS139" s="38"/>
      <c r="BT139" s="38"/>
      <c r="BU139" s="38"/>
      <c r="BV139" s="38"/>
      <c r="BW139" s="38"/>
      <c r="BX139" s="38"/>
      <c r="BY139" s="38"/>
      <c r="BZ139" s="38"/>
      <c r="CA139" s="38"/>
      <c r="CB139" s="38"/>
      <c r="CC139" s="38"/>
      <c r="CD139" s="89">
        <f t="shared" si="411"/>
        <v>0</v>
      </c>
      <c r="CE139" s="38"/>
      <c r="CF139" s="38"/>
      <c r="CG139" s="38"/>
      <c r="CH139" s="38"/>
      <c r="CI139" s="38"/>
      <c r="CJ139" s="38"/>
      <c r="CK139" s="38"/>
      <c r="CL139" s="38"/>
      <c r="CM139" s="38"/>
      <c r="CN139" s="38"/>
      <c r="CO139" s="38"/>
      <c r="CP139" s="38"/>
      <c r="CQ139" s="89">
        <f t="shared" si="414"/>
        <v>0</v>
      </c>
      <c r="CR139" s="38"/>
      <c r="CS139" s="38"/>
      <c r="CT139" s="38"/>
      <c r="CU139" s="38"/>
      <c r="CV139" s="38"/>
      <c r="CW139" s="38"/>
      <c r="CX139" s="38"/>
      <c r="CY139" s="38"/>
      <c r="CZ139" s="38"/>
      <c r="DA139" s="38"/>
      <c r="DB139" s="38"/>
      <c r="DC139" s="38"/>
      <c r="DD139" s="89"/>
      <c r="DE139" s="38"/>
    </row>
    <row r="140" spans="1:114" ht="14.25" hidden="1" customHeight="1" outlineLevel="2" x14ac:dyDescent="0.4">
      <c r="A140" s="37"/>
      <c r="B140" t="s">
        <v>149</v>
      </c>
      <c r="C140" s="88">
        <f t="shared" si="408"/>
        <v>0</v>
      </c>
      <c r="D140" s="38"/>
      <c r="E140" s="38"/>
      <c r="H140" s="38"/>
      <c r="I140" s="38"/>
      <c r="J140" s="38"/>
      <c r="K140" s="38"/>
      <c r="L140" s="38"/>
      <c r="M140" s="38"/>
      <c r="N140" s="38"/>
      <c r="O140" s="38"/>
      <c r="P140" s="38"/>
      <c r="Q140" s="89"/>
      <c r="R140" s="38"/>
      <c r="S140" s="38"/>
      <c r="T140" s="38"/>
      <c r="U140" s="38"/>
      <c r="V140" s="38"/>
      <c r="W140" s="38"/>
      <c r="X140" s="38"/>
      <c r="Y140" s="38"/>
      <c r="Z140" s="38"/>
      <c r="AA140" s="38"/>
      <c r="AB140" s="38"/>
      <c r="AC140" s="38"/>
      <c r="AD140" s="89"/>
      <c r="AE140" s="38"/>
      <c r="AF140" s="38"/>
      <c r="AG140" s="38"/>
      <c r="AH140" s="38"/>
      <c r="AI140" s="38"/>
      <c r="AJ140" s="38"/>
      <c r="AK140" s="38"/>
      <c r="AL140" s="38"/>
      <c r="AM140" s="38"/>
      <c r="AN140" s="38"/>
      <c r="AO140" s="38"/>
      <c r="AP140" s="38"/>
      <c r="AQ140" s="615">
        <f t="shared" si="403"/>
        <v>0</v>
      </c>
      <c r="AR140" s="38"/>
      <c r="AS140" s="38"/>
      <c r="AT140" s="38"/>
      <c r="AU140" s="38"/>
      <c r="AV140" s="38"/>
      <c r="AW140" s="38"/>
      <c r="AX140" s="38"/>
      <c r="AY140" s="38"/>
      <c r="AZ140" s="38"/>
      <c r="BA140" s="38"/>
      <c r="BB140" s="38"/>
      <c r="BC140" s="38"/>
      <c r="BD140" s="89">
        <f t="shared" si="410"/>
        <v>0</v>
      </c>
      <c r="BE140" s="38"/>
      <c r="BF140" s="38"/>
      <c r="BG140" s="38"/>
      <c r="BH140" s="38"/>
      <c r="BI140" s="38"/>
      <c r="BJ140" s="38"/>
      <c r="BK140" s="38"/>
      <c r="BL140" s="38"/>
      <c r="BM140" s="38"/>
      <c r="BN140" s="38"/>
      <c r="BO140" s="38"/>
      <c r="BP140" s="38"/>
      <c r="BQ140" s="89">
        <f t="shared" si="413"/>
        <v>0</v>
      </c>
      <c r="BR140" s="38"/>
      <c r="BS140" s="38"/>
      <c r="BT140" s="38"/>
      <c r="BU140" s="38"/>
      <c r="BV140" s="38"/>
      <c r="BW140" s="38"/>
      <c r="BX140" s="38"/>
      <c r="BY140" s="38"/>
      <c r="BZ140" s="38"/>
      <c r="CA140" s="38"/>
      <c r="CB140" s="38"/>
      <c r="CC140" s="38"/>
      <c r="CD140" s="89">
        <f t="shared" si="411"/>
        <v>0</v>
      </c>
      <c r="CE140" s="38"/>
      <c r="CF140" s="38"/>
      <c r="CG140" s="38"/>
      <c r="CH140" s="38"/>
      <c r="CI140" s="38"/>
      <c r="CJ140" s="38"/>
      <c r="CK140" s="38"/>
      <c r="CL140" s="38"/>
      <c r="CM140" s="38"/>
      <c r="CN140" s="38"/>
      <c r="CO140" s="38"/>
      <c r="CP140" s="38"/>
      <c r="CQ140" s="89">
        <f t="shared" si="414"/>
        <v>0</v>
      </c>
      <c r="CR140" s="38"/>
      <c r="CS140" s="38"/>
      <c r="CT140" s="38"/>
      <c r="CU140" s="38"/>
      <c r="CV140" s="38"/>
      <c r="CW140" s="38"/>
      <c r="CX140" s="38"/>
      <c r="CY140" s="38"/>
      <c r="CZ140" s="38"/>
      <c r="DA140" s="38"/>
      <c r="DB140" s="38"/>
      <c r="DC140" s="38"/>
      <c r="DD140" s="89"/>
      <c r="DE140" s="38"/>
    </row>
    <row r="141" spans="1:114" ht="14.25" hidden="1" customHeight="1" outlineLevel="2" x14ac:dyDescent="0.4">
      <c r="A141" s="37"/>
      <c r="B141" t="s">
        <v>150</v>
      </c>
      <c r="C141" s="88">
        <f t="shared" si="408"/>
        <v>0</v>
      </c>
      <c r="D141" s="38"/>
      <c r="E141" s="38"/>
      <c r="H141" s="38"/>
      <c r="I141" s="38"/>
      <c r="J141" s="38"/>
      <c r="K141" s="38"/>
      <c r="L141" s="38"/>
      <c r="M141" s="38"/>
      <c r="N141" s="38"/>
      <c r="O141" s="38"/>
      <c r="P141" s="38"/>
      <c r="Q141" s="89"/>
      <c r="R141" s="38"/>
      <c r="S141" s="38"/>
      <c r="T141" s="38"/>
      <c r="U141" s="38"/>
      <c r="V141" s="38"/>
      <c r="W141" s="38"/>
      <c r="X141" s="38"/>
      <c r="Y141" s="38"/>
      <c r="Z141" s="38"/>
      <c r="AA141" s="38"/>
      <c r="AB141" s="38"/>
      <c r="AC141" s="38"/>
      <c r="AD141" s="89"/>
      <c r="AE141" s="38"/>
      <c r="AF141" s="38"/>
      <c r="AG141" s="38"/>
      <c r="AH141" s="38"/>
      <c r="AI141" s="38"/>
      <c r="AJ141" s="38"/>
      <c r="AK141" s="38"/>
      <c r="AL141" s="38"/>
      <c r="AM141" s="38"/>
      <c r="AN141" s="38"/>
      <c r="AO141" s="38"/>
      <c r="AP141" s="38"/>
      <c r="AQ141" s="615">
        <f t="shared" si="403"/>
        <v>0</v>
      </c>
      <c r="AR141" s="89"/>
      <c r="AS141" s="89"/>
      <c r="AT141" s="89"/>
      <c r="AU141" s="89"/>
      <c r="AV141" s="89"/>
      <c r="AW141" s="89"/>
      <c r="AX141" s="89"/>
      <c r="AY141" s="89"/>
      <c r="AZ141" s="89"/>
      <c r="BA141" s="89"/>
      <c r="BB141" s="89"/>
      <c r="BC141" s="89"/>
      <c r="BD141" s="89">
        <f t="shared" si="410"/>
        <v>0</v>
      </c>
      <c r="BE141" s="89"/>
      <c r="BF141" s="89"/>
      <c r="BG141" s="89"/>
      <c r="BH141" s="89"/>
      <c r="BI141" s="89"/>
      <c r="BJ141" s="89"/>
      <c r="BK141" s="89"/>
      <c r="BL141" s="89"/>
      <c r="BM141" s="89"/>
      <c r="BN141" s="89"/>
      <c r="BO141" s="89"/>
      <c r="BP141" s="89"/>
      <c r="BQ141" s="89">
        <f t="shared" si="413"/>
        <v>0</v>
      </c>
      <c r="BR141" s="89"/>
      <c r="BS141" s="38"/>
      <c r="BT141" s="38"/>
      <c r="BU141" s="38"/>
      <c r="BV141" s="38"/>
      <c r="BW141" s="38"/>
      <c r="BX141" s="38"/>
      <c r="BY141" s="38"/>
      <c r="BZ141" s="38"/>
      <c r="CA141" s="38"/>
      <c r="CB141" s="38"/>
      <c r="CC141" s="38"/>
      <c r="CD141" s="89">
        <f t="shared" si="411"/>
        <v>0</v>
      </c>
      <c r="CE141" s="38"/>
      <c r="CF141" s="38"/>
      <c r="CG141" s="38"/>
      <c r="CH141" s="38"/>
      <c r="CI141" s="38"/>
      <c r="CJ141" s="38"/>
      <c r="CK141" s="38"/>
      <c r="CL141" s="38"/>
      <c r="CM141" s="38"/>
      <c r="CN141" s="38"/>
      <c r="CO141" s="38"/>
      <c r="CP141" s="38"/>
      <c r="CQ141" s="89">
        <f t="shared" si="414"/>
        <v>0</v>
      </c>
      <c r="CR141" s="38"/>
      <c r="CS141" s="38"/>
      <c r="CT141" s="38"/>
      <c r="CU141" s="38"/>
      <c r="CV141" s="38"/>
      <c r="CW141" s="38"/>
      <c r="CX141" s="38"/>
      <c r="CY141" s="38"/>
      <c r="CZ141" s="38"/>
      <c r="DA141" s="38"/>
      <c r="DB141" s="38"/>
      <c r="DC141" s="38"/>
      <c r="DD141" s="89"/>
      <c r="DE141" s="38"/>
      <c r="DF141" s="38"/>
      <c r="DG141" s="38"/>
      <c r="DH141" s="38"/>
      <c r="DI141" s="38"/>
      <c r="DJ141" s="38"/>
    </row>
    <row r="142" spans="1:114" ht="14.25" hidden="1" customHeight="1" outlineLevel="2" x14ac:dyDescent="0.4">
      <c r="A142" s="37"/>
      <c r="B142" t="s">
        <v>151</v>
      </c>
      <c r="C142" s="88">
        <f t="shared" si="408"/>
        <v>0</v>
      </c>
      <c r="D142" s="38"/>
      <c r="E142" s="38"/>
      <c r="H142" s="38"/>
      <c r="I142" s="38"/>
      <c r="J142" s="38"/>
      <c r="K142" s="38"/>
      <c r="L142" s="38"/>
      <c r="M142" s="38"/>
      <c r="N142" s="38"/>
      <c r="O142" s="38"/>
      <c r="P142" s="38"/>
      <c r="Q142" s="89"/>
      <c r="R142" s="38"/>
      <c r="S142" s="38"/>
      <c r="T142" s="38"/>
      <c r="U142" s="38"/>
      <c r="V142" s="38"/>
      <c r="W142" s="38"/>
      <c r="X142" s="38"/>
      <c r="Y142" s="38"/>
      <c r="Z142" s="38"/>
      <c r="AA142" s="38"/>
      <c r="AB142" s="38"/>
      <c r="AC142" s="38"/>
      <c r="AD142" s="89"/>
      <c r="AE142" s="38"/>
      <c r="AF142" s="38"/>
      <c r="AG142" s="38"/>
      <c r="AH142" s="38"/>
      <c r="AI142" s="38"/>
      <c r="AJ142" s="38"/>
      <c r="AK142" s="38"/>
      <c r="AL142" s="38"/>
      <c r="AM142" s="38"/>
      <c r="AN142" s="38"/>
      <c r="AO142" s="38"/>
      <c r="AP142" s="38"/>
      <c r="AQ142" s="615">
        <f t="shared" si="403"/>
        <v>0</v>
      </c>
      <c r="AR142" s="38"/>
      <c r="AS142" s="38"/>
      <c r="AT142" s="38"/>
      <c r="AU142" s="38"/>
      <c r="AV142" s="38"/>
      <c r="AW142" s="38"/>
      <c r="AX142" s="38"/>
      <c r="AY142" s="38"/>
      <c r="AZ142" s="38"/>
      <c r="BA142" s="38"/>
      <c r="BB142" s="38"/>
      <c r="BC142" s="38"/>
      <c r="BD142" s="89">
        <f t="shared" si="410"/>
        <v>0</v>
      </c>
      <c r="BE142" s="38"/>
      <c r="BF142" s="38"/>
      <c r="BG142" s="38"/>
      <c r="BH142" s="38"/>
      <c r="BI142" s="38"/>
      <c r="BJ142" s="38"/>
      <c r="BK142" s="38"/>
      <c r="BL142" s="38"/>
      <c r="BM142" s="38"/>
      <c r="BN142" s="38"/>
      <c r="BO142" s="38"/>
      <c r="BP142" s="38"/>
      <c r="BQ142" s="89">
        <f t="shared" si="413"/>
        <v>0</v>
      </c>
      <c r="BR142" s="38"/>
      <c r="BS142" s="38"/>
      <c r="BT142" s="38"/>
      <c r="BU142" s="38"/>
      <c r="BV142" s="38"/>
      <c r="BW142" s="38"/>
      <c r="BX142" s="38"/>
      <c r="BY142" s="38"/>
      <c r="BZ142" s="38"/>
      <c r="CA142" s="38"/>
      <c r="CB142" s="38"/>
      <c r="CC142" s="38"/>
      <c r="CD142" s="89">
        <f t="shared" si="411"/>
        <v>0</v>
      </c>
      <c r="CE142" s="38"/>
      <c r="CF142" s="38"/>
      <c r="CG142" s="38"/>
      <c r="CH142" s="38"/>
      <c r="CI142" s="38"/>
      <c r="CJ142" s="38"/>
      <c r="CK142" s="38"/>
      <c r="CL142" s="38"/>
      <c r="CM142" s="38"/>
      <c r="CN142" s="38"/>
      <c r="CO142" s="38"/>
      <c r="CP142" s="38"/>
      <c r="CQ142" s="89">
        <f t="shared" si="414"/>
        <v>0</v>
      </c>
      <c r="CR142" s="38"/>
      <c r="CS142" s="38"/>
      <c r="CT142" s="38"/>
      <c r="CU142" s="38"/>
      <c r="CV142" s="38"/>
      <c r="CW142" s="38"/>
      <c r="CX142" s="38"/>
      <c r="CY142" s="38"/>
      <c r="CZ142" s="38"/>
      <c r="DA142" s="38"/>
      <c r="DB142" s="38"/>
      <c r="DC142" s="38"/>
      <c r="DD142" s="89"/>
      <c r="DE142" s="38"/>
      <c r="DF142" s="38"/>
      <c r="DG142" s="38"/>
      <c r="DH142" s="38"/>
      <c r="DI142" s="38"/>
      <c r="DJ142" s="38"/>
    </row>
    <row r="143" spans="1:114" ht="13.5" hidden="1" customHeight="1" outlineLevel="2" x14ac:dyDescent="0.4">
      <c r="A143" s="37"/>
      <c r="B143" t="s">
        <v>152</v>
      </c>
      <c r="C143" s="88">
        <f t="shared" si="408"/>
        <v>0</v>
      </c>
      <c r="D143" s="38"/>
      <c r="E143" s="38"/>
      <c r="H143" s="38"/>
      <c r="I143" s="38"/>
      <c r="J143" s="38"/>
      <c r="K143" s="38"/>
      <c r="L143" s="38"/>
      <c r="M143" s="38"/>
      <c r="N143" s="38"/>
      <c r="O143" s="38"/>
      <c r="P143" s="38"/>
      <c r="Q143" s="89"/>
      <c r="R143" s="38"/>
      <c r="S143" s="38"/>
      <c r="T143" s="38"/>
      <c r="U143" s="38"/>
      <c r="V143" s="38"/>
      <c r="W143" s="38"/>
      <c r="X143" s="38"/>
      <c r="Y143" s="38"/>
      <c r="Z143" s="38"/>
      <c r="AA143" s="38"/>
      <c r="AB143" s="38"/>
      <c r="AC143" s="38"/>
      <c r="AD143" s="89"/>
      <c r="AE143" s="38"/>
      <c r="AF143" s="38"/>
      <c r="AG143" s="38"/>
      <c r="AH143" s="38"/>
      <c r="AI143" s="38"/>
      <c r="AJ143" s="38"/>
      <c r="AK143" s="38"/>
      <c r="AL143" s="38"/>
      <c r="AM143" s="38"/>
      <c r="AN143" s="38"/>
      <c r="AO143" s="38"/>
      <c r="AP143" s="38"/>
      <c r="AQ143" s="615">
        <f t="shared" si="403"/>
        <v>0</v>
      </c>
      <c r="AR143" s="38"/>
      <c r="AS143" s="38"/>
      <c r="AT143" s="38"/>
      <c r="AU143" s="38"/>
      <c r="AV143" s="38"/>
      <c r="AW143" s="38"/>
      <c r="AX143" s="38"/>
      <c r="AY143" s="38"/>
      <c r="AZ143" s="38"/>
      <c r="BA143" s="38"/>
      <c r="BB143" s="38"/>
      <c r="BC143" s="38"/>
      <c r="BD143" s="89">
        <f t="shared" si="410"/>
        <v>0</v>
      </c>
      <c r="BE143" s="38"/>
      <c r="BF143" s="38"/>
      <c r="BG143" s="38"/>
      <c r="BH143" s="38"/>
      <c r="BI143" s="38"/>
      <c r="BJ143" s="38"/>
      <c r="BK143" s="38"/>
      <c r="BL143" s="38"/>
      <c r="BM143" s="38"/>
      <c r="BN143" s="38"/>
      <c r="BO143" s="38"/>
      <c r="BP143" s="38"/>
      <c r="BQ143" s="89">
        <f t="shared" si="413"/>
        <v>0</v>
      </c>
      <c r="BR143" s="38"/>
      <c r="BS143" s="38"/>
      <c r="BT143" s="38"/>
      <c r="BU143" s="38"/>
      <c r="BV143" s="38"/>
      <c r="BW143" s="38"/>
      <c r="BX143" s="38"/>
      <c r="BY143" s="38"/>
      <c r="BZ143" s="38"/>
      <c r="CA143" s="38"/>
      <c r="CB143" s="38"/>
      <c r="CC143" s="38"/>
      <c r="CD143" s="89">
        <f t="shared" si="411"/>
        <v>0</v>
      </c>
      <c r="CE143" s="38"/>
      <c r="CF143" s="38"/>
      <c r="CG143" s="38"/>
      <c r="CH143" s="38"/>
      <c r="CI143" s="38"/>
      <c r="CJ143" s="38"/>
      <c r="CK143" s="38"/>
      <c r="CL143" s="38"/>
      <c r="CM143" s="38"/>
      <c r="CN143" s="38"/>
      <c r="CO143" s="38"/>
      <c r="CP143" s="38"/>
      <c r="CQ143" s="89">
        <f t="shared" si="414"/>
        <v>0</v>
      </c>
      <c r="CR143" s="38"/>
      <c r="CS143" s="38"/>
      <c r="CT143" s="38"/>
      <c r="CU143" s="38"/>
      <c r="CV143" s="38"/>
      <c r="CW143" s="38"/>
      <c r="CX143" s="38"/>
      <c r="CY143" s="38"/>
      <c r="CZ143" s="38"/>
      <c r="DA143" s="38"/>
      <c r="DB143" s="38"/>
      <c r="DC143" s="38"/>
      <c r="DD143" s="89"/>
      <c r="DE143" s="38"/>
      <c r="DF143" s="38"/>
      <c r="DG143" s="38"/>
      <c r="DH143" s="38"/>
      <c r="DI143" s="38"/>
      <c r="DJ143" s="38"/>
    </row>
    <row r="144" spans="1:114" ht="14.25" hidden="1" customHeight="1" outlineLevel="2" x14ac:dyDescent="0.4">
      <c r="A144" s="37"/>
      <c r="B144" t="s">
        <v>153</v>
      </c>
      <c r="C144" s="88">
        <f t="shared" si="408"/>
        <v>0</v>
      </c>
      <c r="D144" s="38"/>
      <c r="E144" s="38"/>
      <c r="H144" s="38"/>
      <c r="I144" s="38"/>
      <c r="J144" s="38"/>
      <c r="K144" s="38"/>
      <c r="L144" s="38"/>
      <c r="M144" s="38"/>
      <c r="N144" s="38"/>
      <c r="O144" s="38"/>
      <c r="P144" s="38"/>
      <c r="Q144" s="89"/>
      <c r="R144" s="38"/>
      <c r="S144" s="38"/>
      <c r="T144" s="38"/>
      <c r="U144" s="38"/>
      <c r="V144" s="38"/>
      <c r="W144" s="38"/>
      <c r="X144" s="38"/>
      <c r="Y144" s="38"/>
      <c r="Z144" s="38"/>
      <c r="AA144" s="38"/>
      <c r="AB144" s="38"/>
      <c r="AC144" s="38"/>
      <c r="AD144" s="89"/>
      <c r="AE144" s="38"/>
      <c r="AF144" s="38"/>
      <c r="AG144" s="38"/>
      <c r="AH144" s="38"/>
      <c r="AI144" s="38"/>
      <c r="AJ144" s="38"/>
      <c r="AK144" s="38"/>
      <c r="AL144" s="38"/>
      <c r="AM144" s="38"/>
      <c r="AN144" s="38"/>
      <c r="AO144" s="38"/>
      <c r="AP144" s="38"/>
      <c r="AQ144" s="615">
        <f t="shared" si="403"/>
        <v>0</v>
      </c>
      <c r="AR144" s="38"/>
      <c r="AS144" s="38"/>
      <c r="AT144" s="38"/>
      <c r="AU144" s="38"/>
      <c r="AV144" s="38"/>
      <c r="AW144" s="38"/>
      <c r="AX144" s="38"/>
      <c r="AY144" s="38"/>
      <c r="AZ144" s="38"/>
      <c r="BA144" s="38"/>
      <c r="BB144" s="38"/>
      <c r="BC144" s="38"/>
      <c r="BD144" s="89">
        <f t="shared" si="410"/>
        <v>0</v>
      </c>
      <c r="BE144" s="38"/>
      <c r="BF144" s="38"/>
      <c r="BG144" s="38"/>
      <c r="BH144" s="38"/>
      <c r="BI144" s="38"/>
      <c r="BJ144" s="38"/>
      <c r="BK144" s="38"/>
      <c r="BL144" s="38"/>
      <c r="BM144" s="38"/>
      <c r="BN144" s="38"/>
      <c r="BO144" s="38"/>
      <c r="BP144" s="38"/>
      <c r="BQ144" s="89">
        <f t="shared" si="413"/>
        <v>0</v>
      </c>
      <c r="BR144" s="38"/>
      <c r="BS144" s="38"/>
      <c r="BT144" s="38"/>
      <c r="BU144" s="38"/>
      <c r="BV144" s="38"/>
      <c r="BW144" s="38"/>
      <c r="BX144" s="38"/>
      <c r="BY144" s="38"/>
      <c r="BZ144" s="38"/>
      <c r="CA144" s="38"/>
      <c r="CB144" s="38"/>
      <c r="CC144" s="38"/>
      <c r="CD144" s="89">
        <f t="shared" si="411"/>
        <v>0</v>
      </c>
      <c r="CE144" s="38"/>
      <c r="CF144" s="38"/>
      <c r="CG144" s="38"/>
      <c r="CH144" s="38"/>
      <c r="CI144" s="38"/>
      <c r="CJ144" s="38"/>
      <c r="CK144" s="38"/>
      <c r="CL144" s="38"/>
      <c r="CM144" s="38"/>
      <c r="CN144" s="38"/>
      <c r="CO144" s="38"/>
      <c r="CP144" s="38"/>
      <c r="CQ144" s="89">
        <f t="shared" si="414"/>
        <v>0</v>
      </c>
      <c r="CR144" s="38"/>
      <c r="CS144" s="38"/>
      <c r="CT144" s="38"/>
      <c r="CU144" s="38"/>
      <c r="CV144" s="38"/>
      <c r="CW144" s="38"/>
      <c r="CX144" s="38"/>
      <c r="CY144" s="38"/>
      <c r="CZ144" s="38"/>
      <c r="DA144" s="38"/>
      <c r="DB144" s="38"/>
      <c r="DC144" s="38"/>
      <c r="DD144" s="89"/>
      <c r="DE144" s="38"/>
      <c r="DF144" s="38"/>
      <c r="DG144" s="38"/>
      <c r="DH144" s="38"/>
      <c r="DI144" s="38"/>
      <c r="DJ144" s="38"/>
    </row>
    <row r="145" spans="1:115" ht="14.25" hidden="1" customHeight="1" outlineLevel="2" x14ac:dyDescent="0.4">
      <c r="A145" s="37"/>
      <c r="B145" t="s">
        <v>154</v>
      </c>
      <c r="C145" s="88">
        <f t="shared" si="408"/>
        <v>0</v>
      </c>
      <c r="D145" s="38"/>
      <c r="E145" s="38"/>
      <c r="H145" s="38"/>
      <c r="I145" s="38"/>
      <c r="J145" s="38"/>
      <c r="K145" s="38"/>
      <c r="L145" s="38"/>
      <c r="M145" s="38"/>
      <c r="N145" s="38"/>
      <c r="O145" s="38"/>
      <c r="P145" s="38"/>
      <c r="Q145" s="89"/>
      <c r="R145" s="38"/>
      <c r="S145" s="38"/>
      <c r="T145" s="38"/>
      <c r="U145" s="38"/>
      <c r="V145" s="38"/>
      <c r="W145" s="38"/>
      <c r="X145" s="38"/>
      <c r="Y145" s="38"/>
      <c r="Z145" s="38"/>
      <c r="AA145" s="38"/>
      <c r="AB145" s="38"/>
      <c r="AC145" s="38"/>
      <c r="AD145" s="89"/>
      <c r="AE145" s="38"/>
      <c r="AF145" s="38"/>
      <c r="AG145" s="38"/>
      <c r="AH145" s="38"/>
      <c r="AI145" s="38"/>
      <c r="AJ145" s="38"/>
      <c r="AK145" s="38"/>
      <c r="AL145" s="38"/>
      <c r="AM145" s="38"/>
      <c r="AN145" s="38"/>
      <c r="AO145" s="38"/>
      <c r="AP145" s="38"/>
      <c r="AQ145" s="615">
        <f t="shared" si="403"/>
        <v>0</v>
      </c>
      <c r="AR145" s="89"/>
      <c r="AS145" s="89"/>
      <c r="AT145" s="89"/>
      <c r="AU145" s="89"/>
      <c r="AV145" s="89"/>
      <c r="AW145" s="89"/>
      <c r="AX145" s="89"/>
      <c r="AY145" s="89"/>
      <c r="AZ145" s="89"/>
      <c r="BA145" s="89"/>
      <c r="BB145" s="89"/>
      <c r="BC145" s="89"/>
      <c r="BD145" s="89">
        <f t="shared" si="410"/>
        <v>0</v>
      </c>
      <c r="BE145" s="89"/>
      <c r="BF145" s="89"/>
      <c r="BG145" s="89"/>
      <c r="BH145" s="89"/>
      <c r="BI145" s="89"/>
      <c r="BJ145" s="89"/>
      <c r="BK145" s="89"/>
      <c r="BL145" s="89"/>
      <c r="BM145" s="89"/>
      <c r="BN145" s="89"/>
      <c r="BO145" s="89"/>
      <c r="BP145" s="89"/>
      <c r="BQ145" s="89">
        <f t="shared" si="413"/>
        <v>0</v>
      </c>
      <c r="BR145" s="89"/>
      <c r="BS145" s="38"/>
      <c r="BT145" s="38"/>
      <c r="BU145" s="38"/>
      <c r="BV145" s="38"/>
      <c r="BW145" s="38"/>
      <c r="BX145" s="38"/>
      <c r="BY145" s="38"/>
      <c r="BZ145" s="38"/>
      <c r="CA145" s="38"/>
      <c r="CB145" s="38"/>
      <c r="CC145" s="38"/>
      <c r="CD145" s="89">
        <f t="shared" si="411"/>
        <v>0</v>
      </c>
      <c r="CE145" s="38"/>
      <c r="CF145" s="38"/>
      <c r="CG145" s="38"/>
      <c r="CH145" s="38"/>
      <c r="CI145" s="38"/>
      <c r="CJ145" s="38"/>
      <c r="CK145" s="38"/>
      <c r="CL145" s="38"/>
      <c r="CM145" s="38"/>
      <c r="CN145" s="38"/>
      <c r="CO145" s="38"/>
      <c r="CP145" s="38"/>
      <c r="CQ145" s="89">
        <f t="shared" si="414"/>
        <v>0</v>
      </c>
      <c r="CR145" s="38"/>
      <c r="CS145" s="38"/>
      <c r="CT145" s="38"/>
      <c r="CU145" s="38"/>
      <c r="CV145" s="38"/>
      <c r="CW145" s="38"/>
      <c r="CX145" s="38"/>
      <c r="CY145" s="38"/>
      <c r="CZ145" s="38"/>
      <c r="DA145" s="38"/>
      <c r="DB145" s="38"/>
      <c r="DC145" s="38"/>
      <c r="DD145" s="89"/>
      <c r="DE145" s="38"/>
      <c r="DF145" s="38"/>
      <c r="DG145" s="38"/>
      <c r="DH145" s="38"/>
      <c r="DI145" s="38"/>
      <c r="DJ145" s="38"/>
    </row>
    <row r="146" spans="1:115" ht="14.25" hidden="1" customHeight="1" outlineLevel="2" x14ac:dyDescent="0.4">
      <c r="A146" s="37"/>
      <c r="B146" t="s">
        <v>155</v>
      </c>
      <c r="C146" s="88">
        <f t="shared" si="408"/>
        <v>0</v>
      </c>
      <c r="D146" s="38"/>
      <c r="E146" s="38"/>
      <c r="H146" s="38"/>
      <c r="I146" s="38"/>
      <c r="J146" s="38"/>
      <c r="K146" s="38"/>
      <c r="L146" s="38"/>
      <c r="M146" s="38"/>
      <c r="N146" s="38"/>
      <c r="O146" s="38"/>
      <c r="P146" s="38"/>
      <c r="Q146" s="89"/>
      <c r="R146" s="38"/>
      <c r="S146" s="38"/>
      <c r="T146" s="38"/>
      <c r="U146" s="38"/>
      <c r="V146" s="38"/>
      <c r="W146" s="38"/>
      <c r="X146" s="38"/>
      <c r="Y146" s="38"/>
      <c r="Z146" s="38"/>
      <c r="AA146" s="38"/>
      <c r="AB146" s="38"/>
      <c r="AC146" s="38"/>
      <c r="AD146" s="89"/>
      <c r="AE146" s="38"/>
      <c r="AF146" s="38"/>
      <c r="AG146" s="38"/>
      <c r="AH146" s="38"/>
      <c r="AI146" s="38"/>
      <c r="AJ146" s="38"/>
      <c r="AK146" s="38"/>
      <c r="AL146" s="38"/>
      <c r="AM146" s="38"/>
      <c r="AN146" s="38"/>
      <c r="AO146" s="38"/>
      <c r="AP146" s="38"/>
      <c r="AQ146" s="615">
        <f t="shared" si="403"/>
        <v>0</v>
      </c>
      <c r="AR146" s="38"/>
      <c r="AS146" s="38"/>
      <c r="AT146" s="38"/>
      <c r="AU146" s="38"/>
      <c r="AV146" s="38"/>
      <c r="AW146" s="38"/>
      <c r="AX146" s="38"/>
      <c r="AY146" s="38"/>
      <c r="AZ146" s="38"/>
      <c r="BA146" s="38"/>
      <c r="BB146" s="38"/>
      <c r="BC146" s="38"/>
      <c r="BD146" s="89">
        <f t="shared" si="410"/>
        <v>0</v>
      </c>
      <c r="BE146" s="38"/>
      <c r="BF146" s="38"/>
      <c r="BG146" s="38"/>
      <c r="BH146" s="38"/>
      <c r="BI146" s="38"/>
      <c r="BJ146" s="38"/>
      <c r="BK146" s="38"/>
      <c r="BL146" s="38"/>
      <c r="BM146" s="38"/>
      <c r="BN146" s="38"/>
      <c r="BO146" s="38"/>
      <c r="BP146" s="38"/>
      <c r="BQ146" s="89">
        <f t="shared" si="413"/>
        <v>0</v>
      </c>
      <c r="BR146" s="38"/>
      <c r="BS146" s="38"/>
      <c r="BT146" s="38"/>
      <c r="BU146" s="38"/>
      <c r="BV146" s="38"/>
      <c r="BW146" s="38"/>
      <c r="BX146" s="38"/>
      <c r="BY146" s="38"/>
      <c r="BZ146" s="38"/>
      <c r="CA146" s="38"/>
      <c r="CB146" s="38"/>
      <c r="CC146" s="38"/>
      <c r="CD146" s="89">
        <f t="shared" si="411"/>
        <v>0</v>
      </c>
      <c r="CE146" s="38"/>
      <c r="CF146" s="38"/>
      <c r="CG146" s="38"/>
      <c r="CH146" s="38"/>
      <c r="CI146" s="38"/>
      <c r="CJ146" s="38"/>
      <c r="CK146" s="38"/>
      <c r="CL146" s="38"/>
      <c r="CM146" s="38"/>
      <c r="CN146" s="38"/>
      <c r="CO146" s="38"/>
      <c r="CP146" s="38"/>
      <c r="CQ146" s="89">
        <f t="shared" si="414"/>
        <v>0</v>
      </c>
      <c r="CR146" s="38"/>
      <c r="CS146" s="38"/>
      <c r="CT146" s="38"/>
      <c r="CU146" s="38"/>
      <c r="CV146" s="38"/>
      <c r="CW146" s="38"/>
      <c r="CX146" s="38"/>
      <c r="CY146" s="38"/>
      <c r="CZ146" s="38"/>
      <c r="DA146" s="38"/>
      <c r="DB146" s="38"/>
      <c r="DC146" s="38"/>
      <c r="DD146" s="89"/>
      <c r="DE146" s="38"/>
      <c r="DF146" s="38"/>
      <c r="DG146" s="38"/>
      <c r="DH146" s="38"/>
      <c r="DI146" s="38"/>
      <c r="DJ146" s="38"/>
    </row>
    <row r="147" spans="1:115" ht="14.25" hidden="1" customHeight="1" outlineLevel="2" x14ac:dyDescent="0.4">
      <c r="A147" s="37"/>
      <c r="B147" t="s">
        <v>156</v>
      </c>
      <c r="C147" s="88">
        <f t="shared" si="408"/>
        <v>0</v>
      </c>
      <c r="D147" s="38"/>
      <c r="E147" s="38"/>
      <c r="H147" s="38"/>
      <c r="I147" s="38"/>
      <c r="J147" s="38"/>
      <c r="K147" s="38"/>
      <c r="L147" s="38"/>
      <c r="M147" s="38"/>
      <c r="N147" s="38"/>
      <c r="O147" s="38"/>
      <c r="P147" s="38"/>
      <c r="Q147" s="89"/>
      <c r="R147" s="38"/>
      <c r="S147" s="38"/>
      <c r="T147" s="38"/>
      <c r="U147" s="38"/>
      <c r="V147" s="38"/>
      <c r="W147" s="38"/>
      <c r="X147" s="38"/>
      <c r="Y147" s="38"/>
      <c r="Z147" s="38"/>
      <c r="AA147" s="38"/>
      <c r="AB147" s="38"/>
      <c r="AC147" s="38"/>
      <c r="AD147" s="89"/>
      <c r="AE147" s="38"/>
      <c r="AF147" s="38"/>
      <c r="AG147" s="38"/>
      <c r="AH147" s="38"/>
      <c r="AI147" s="38"/>
      <c r="AJ147" s="38"/>
      <c r="AK147" s="38"/>
      <c r="AL147" s="38"/>
      <c r="AM147" s="38"/>
      <c r="AN147" s="38"/>
      <c r="AO147" s="38"/>
      <c r="AP147" s="38"/>
      <c r="AQ147" s="615">
        <f t="shared" si="403"/>
        <v>0</v>
      </c>
      <c r="AR147" s="89"/>
      <c r="AS147" s="89"/>
      <c r="AT147" s="89"/>
      <c r="AU147" s="89"/>
      <c r="AV147" s="89"/>
      <c r="AW147" s="89"/>
      <c r="AX147" s="89"/>
      <c r="AY147" s="89"/>
      <c r="AZ147" s="89"/>
      <c r="BA147" s="89"/>
      <c r="BB147" s="89"/>
      <c r="BC147" s="89"/>
      <c r="BD147" s="89">
        <f t="shared" si="410"/>
        <v>0</v>
      </c>
      <c r="BE147" s="89"/>
      <c r="BF147" s="89"/>
      <c r="BG147" s="89"/>
      <c r="BH147" s="89"/>
      <c r="BI147" s="89"/>
      <c r="BJ147" s="89"/>
      <c r="BK147" s="89"/>
      <c r="BL147" s="89"/>
      <c r="BM147" s="89"/>
      <c r="BN147" s="89"/>
      <c r="BO147" s="89"/>
      <c r="BP147" s="89"/>
      <c r="BQ147" s="89">
        <f t="shared" si="413"/>
        <v>0</v>
      </c>
      <c r="BR147" s="89"/>
      <c r="BS147" s="38"/>
      <c r="BT147" s="38"/>
      <c r="BU147" s="38"/>
      <c r="BV147" s="38"/>
      <c r="BW147" s="38"/>
      <c r="BX147" s="38"/>
      <c r="BY147" s="38"/>
      <c r="BZ147" s="38"/>
      <c r="CA147" s="38"/>
      <c r="CB147" s="38"/>
      <c r="CC147" s="38"/>
      <c r="CD147" s="89">
        <f t="shared" si="411"/>
        <v>0</v>
      </c>
      <c r="CE147" s="38"/>
      <c r="CF147" s="38"/>
      <c r="CG147" s="38"/>
      <c r="CH147" s="38"/>
      <c r="CI147" s="38"/>
      <c r="CJ147" s="38"/>
      <c r="CK147" s="38"/>
      <c r="CL147" s="38"/>
      <c r="CM147" s="38"/>
      <c r="CN147" s="38"/>
      <c r="CO147" s="38"/>
      <c r="CP147" s="38"/>
      <c r="CQ147" s="89">
        <f t="shared" si="414"/>
        <v>0</v>
      </c>
      <c r="CR147" s="38"/>
      <c r="CS147" s="38"/>
      <c r="CT147" s="38"/>
      <c r="CU147" s="38"/>
      <c r="CV147" s="38"/>
      <c r="CW147" s="38"/>
      <c r="CX147" s="38"/>
      <c r="CY147" s="38"/>
      <c r="CZ147" s="38"/>
      <c r="DA147" s="38"/>
      <c r="DB147" s="38"/>
      <c r="DC147" s="38"/>
      <c r="DD147" s="89"/>
      <c r="DE147" s="38"/>
      <c r="DF147" s="38"/>
      <c r="DG147" s="38"/>
      <c r="DH147" s="38"/>
      <c r="DI147" s="38"/>
      <c r="DJ147" s="38"/>
    </row>
    <row r="148" spans="1:115" ht="13.5" hidden="1" customHeight="1" outlineLevel="2" thickBot="1" x14ac:dyDescent="0.45">
      <c r="A148" s="37"/>
      <c r="B148" t="s">
        <v>157</v>
      </c>
      <c r="C148" s="88">
        <f t="shared" si="408"/>
        <v>0</v>
      </c>
      <c r="D148" s="109"/>
      <c r="E148" s="112"/>
      <c r="F148" s="109"/>
      <c r="G148" s="109"/>
      <c r="H148" s="112"/>
      <c r="I148" s="112"/>
      <c r="J148" s="112"/>
      <c r="K148" s="112"/>
      <c r="L148" s="112"/>
      <c r="M148" s="112"/>
      <c r="N148" s="112"/>
      <c r="O148" s="112"/>
      <c r="P148" s="112"/>
      <c r="Q148" s="113"/>
      <c r="R148" s="112"/>
      <c r="S148" s="112"/>
      <c r="T148" s="112"/>
      <c r="U148" s="112"/>
      <c r="V148" s="112"/>
      <c r="W148" s="112"/>
      <c r="X148" s="112"/>
      <c r="Y148" s="112"/>
      <c r="Z148" s="112"/>
      <c r="AA148" s="112"/>
      <c r="AB148" s="112"/>
      <c r="AC148" s="112"/>
      <c r="AD148" s="113"/>
      <c r="AE148" s="112"/>
      <c r="AF148" s="112"/>
      <c r="AG148" s="112"/>
      <c r="AH148" s="112"/>
      <c r="AI148" s="112"/>
      <c r="AJ148" s="112"/>
      <c r="AK148" s="112"/>
      <c r="AL148" s="112"/>
      <c r="AM148" s="112"/>
      <c r="AN148" s="112"/>
      <c r="AO148" s="112"/>
      <c r="AP148" s="112"/>
      <c r="AQ148" s="615">
        <f t="shared" si="403"/>
        <v>0</v>
      </c>
      <c r="AR148" s="112"/>
      <c r="AS148" s="112"/>
      <c r="AT148" s="112"/>
      <c r="AU148" s="112"/>
      <c r="AV148" s="112"/>
      <c r="AW148" s="112"/>
      <c r="AX148" s="112"/>
      <c r="AY148" s="112"/>
      <c r="AZ148" s="112"/>
      <c r="BA148" s="112"/>
      <c r="BB148" s="112"/>
      <c r="BC148" s="112"/>
      <c r="BD148" s="89">
        <f t="shared" si="410"/>
        <v>0</v>
      </c>
      <c r="BE148" s="112"/>
      <c r="BF148" s="112"/>
      <c r="BG148" s="112"/>
      <c r="BH148" s="112"/>
      <c r="BI148" s="112"/>
      <c r="BJ148" s="112"/>
      <c r="BK148" s="112"/>
      <c r="BL148" s="112"/>
      <c r="BM148" s="112"/>
      <c r="BN148" s="112"/>
      <c r="BO148" s="112"/>
      <c r="BP148" s="112"/>
      <c r="BQ148" s="89">
        <f t="shared" si="413"/>
        <v>0</v>
      </c>
      <c r="BR148" s="112"/>
      <c r="BS148" s="112"/>
      <c r="BT148" s="112"/>
      <c r="BU148" s="112"/>
      <c r="BV148" s="112"/>
      <c r="BW148" s="112"/>
      <c r="BX148" s="112"/>
      <c r="BY148" s="112"/>
      <c r="BZ148" s="112"/>
      <c r="CA148" s="112"/>
      <c r="CB148" s="112"/>
      <c r="CC148" s="112"/>
      <c r="CD148" s="89">
        <f t="shared" si="411"/>
        <v>0</v>
      </c>
      <c r="CE148" s="112"/>
      <c r="CF148" s="112"/>
      <c r="CG148" s="112"/>
      <c r="CH148" s="112"/>
      <c r="CI148" s="112"/>
      <c r="CJ148" s="112"/>
      <c r="CK148" s="112"/>
      <c r="CL148" s="112"/>
      <c r="CM148" s="112"/>
      <c r="CN148" s="112"/>
      <c r="CO148" s="112"/>
      <c r="CP148" s="112"/>
      <c r="CQ148" s="89">
        <f t="shared" si="414"/>
        <v>0</v>
      </c>
      <c r="CR148" s="112"/>
      <c r="CS148" s="112"/>
      <c r="CT148" s="112"/>
      <c r="CU148" s="112"/>
      <c r="CV148" s="112"/>
      <c r="CW148" s="112"/>
      <c r="CX148" s="112"/>
      <c r="CY148" s="112"/>
      <c r="CZ148" s="112"/>
      <c r="DA148" s="112"/>
      <c r="DB148" s="112"/>
      <c r="DC148" s="112"/>
      <c r="DD148" s="113"/>
      <c r="DE148" s="112"/>
      <c r="DF148" s="112"/>
      <c r="DG148" s="112"/>
      <c r="DH148" s="112"/>
      <c r="DI148" s="112"/>
      <c r="DJ148" s="112"/>
      <c r="DK148" s="109"/>
    </row>
    <row r="149" spans="1:115" ht="14.25" hidden="1" customHeight="1" outlineLevel="2" x14ac:dyDescent="0.4">
      <c r="A149" s="37"/>
      <c r="B149" t="s">
        <v>158</v>
      </c>
      <c r="C149" s="88">
        <f t="shared" si="408"/>
        <v>0</v>
      </c>
      <c r="D149" s="38"/>
      <c r="E149" s="38"/>
      <c r="H149" s="38"/>
      <c r="I149" s="38"/>
      <c r="J149" s="38"/>
      <c r="K149" s="38"/>
      <c r="L149" s="38"/>
      <c r="M149" s="38"/>
      <c r="N149" s="38"/>
      <c r="O149" s="38"/>
      <c r="P149" s="38"/>
      <c r="Q149" s="89"/>
      <c r="R149" s="38"/>
      <c r="S149" s="38"/>
      <c r="T149" s="38"/>
      <c r="U149" s="38"/>
      <c r="V149" s="38"/>
      <c r="W149" s="38"/>
      <c r="X149" s="38"/>
      <c r="Y149" s="38"/>
      <c r="Z149" s="38"/>
      <c r="AA149" s="38"/>
      <c r="AB149" s="38"/>
      <c r="AC149" s="38"/>
      <c r="AD149" s="89"/>
      <c r="AE149" s="38"/>
      <c r="AF149" s="38"/>
      <c r="AG149" s="38"/>
      <c r="AH149" s="38"/>
      <c r="AI149" s="38"/>
      <c r="AJ149" s="38"/>
      <c r="AK149" s="38"/>
      <c r="AL149" s="38"/>
      <c r="AM149" s="38"/>
      <c r="AN149" s="38"/>
      <c r="AO149" s="38"/>
      <c r="AP149" s="38"/>
      <c r="AQ149" s="615">
        <f t="shared" si="403"/>
        <v>0</v>
      </c>
      <c r="AR149" s="38"/>
      <c r="AS149" s="38"/>
      <c r="AT149" s="38"/>
      <c r="AU149" s="38"/>
      <c r="AV149" s="38"/>
      <c r="AW149" s="38"/>
      <c r="AX149" s="38"/>
      <c r="AY149" s="38"/>
      <c r="AZ149" s="38"/>
      <c r="BA149" s="38"/>
      <c r="BB149" s="38"/>
      <c r="BC149" s="38"/>
      <c r="BD149" s="89">
        <f t="shared" si="410"/>
        <v>0</v>
      </c>
      <c r="BE149" s="38"/>
      <c r="BF149" s="38"/>
      <c r="BG149" s="38"/>
      <c r="BH149" s="38"/>
      <c r="BI149" s="38"/>
      <c r="BJ149" s="38"/>
      <c r="BK149" s="38"/>
      <c r="BL149" s="38"/>
      <c r="BM149" s="38"/>
      <c r="BN149" s="38"/>
      <c r="BO149" s="38"/>
      <c r="BP149" s="38"/>
      <c r="BQ149" s="89">
        <f t="shared" si="413"/>
        <v>0</v>
      </c>
      <c r="BR149" s="38"/>
      <c r="BS149" s="38"/>
      <c r="BT149" s="38"/>
      <c r="BU149" s="38"/>
      <c r="BV149" s="38"/>
      <c r="BW149" s="38"/>
      <c r="BX149" s="38"/>
      <c r="BY149" s="38"/>
      <c r="BZ149" s="38"/>
      <c r="CA149" s="38"/>
      <c r="CB149" s="38"/>
      <c r="CC149" s="38"/>
      <c r="CD149" s="89">
        <f t="shared" si="411"/>
        <v>0</v>
      </c>
      <c r="CE149" s="38"/>
      <c r="CF149" s="38"/>
      <c r="CG149" s="38"/>
      <c r="CH149" s="38"/>
      <c r="CI149" s="38"/>
      <c r="CJ149" s="38"/>
      <c r="CK149" s="38"/>
      <c r="CL149" s="38"/>
      <c r="CM149" s="38"/>
      <c r="CN149" s="38"/>
      <c r="CO149" s="38"/>
      <c r="CP149" s="38"/>
      <c r="CQ149" s="89">
        <f t="shared" si="414"/>
        <v>0</v>
      </c>
      <c r="DD149" s="89"/>
    </row>
    <row r="150" spans="1:115" ht="13.5" hidden="1" customHeight="1" outlineLevel="2" x14ac:dyDescent="0.4">
      <c r="A150" s="37"/>
      <c r="B150" t="s">
        <v>159</v>
      </c>
      <c r="C150" s="88">
        <f t="shared" si="408"/>
        <v>0</v>
      </c>
      <c r="E150" s="38"/>
      <c r="H150" s="38"/>
      <c r="I150" s="38"/>
      <c r="J150" s="38"/>
      <c r="K150" s="38"/>
      <c r="L150" s="38"/>
      <c r="M150" s="38"/>
      <c r="N150" s="38"/>
      <c r="O150" s="38"/>
      <c r="P150" s="38"/>
      <c r="Q150" s="89"/>
      <c r="R150" s="38"/>
      <c r="S150" s="38"/>
      <c r="T150" s="38"/>
      <c r="U150" s="38"/>
      <c r="V150" s="38"/>
      <c r="W150" s="38"/>
      <c r="X150" s="38"/>
      <c r="Y150" s="38"/>
      <c r="Z150" s="38"/>
      <c r="AA150" s="38"/>
      <c r="AB150" s="38"/>
      <c r="AC150" s="38"/>
      <c r="AD150" s="89"/>
      <c r="AE150" s="38"/>
      <c r="AF150" s="38"/>
      <c r="AG150" s="38"/>
      <c r="AH150" s="38"/>
      <c r="AI150" s="38"/>
      <c r="AJ150" s="38"/>
      <c r="AK150" s="38"/>
      <c r="AL150" s="38"/>
      <c r="AM150" s="38"/>
      <c r="AN150" s="38"/>
      <c r="AO150" s="38"/>
      <c r="AP150" s="38"/>
      <c r="AQ150" s="615">
        <f t="shared" si="403"/>
        <v>0</v>
      </c>
      <c r="AR150" s="38"/>
      <c r="AS150" s="38"/>
      <c r="AT150" s="38"/>
      <c r="AU150" s="38"/>
      <c r="AV150" s="38"/>
      <c r="AW150" s="38"/>
      <c r="AX150" s="38"/>
      <c r="AY150" s="38"/>
      <c r="AZ150" s="38"/>
      <c r="BA150" s="38"/>
      <c r="BB150" s="38"/>
      <c r="BC150" s="38"/>
      <c r="BD150" s="89">
        <f t="shared" si="410"/>
        <v>0</v>
      </c>
      <c r="BE150" s="38"/>
      <c r="BF150" s="38"/>
      <c r="BG150" s="38"/>
      <c r="BH150" s="38"/>
      <c r="BI150" s="38"/>
      <c r="BJ150" s="38"/>
      <c r="BK150" s="38"/>
      <c r="BL150" s="38"/>
      <c r="BM150" s="38"/>
      <c r="BN150" s="38"/>
      <c r="BO150" s="38"/>
      <c r="BP150" s="38"/>
      <c r="BQ150" s="89">
        <f t="shared" si="413"/>
        <v>0</v>
      </c>
      <c r="BR150" s="38"/>
      <c r="BS150" s="38"/>
      <c r="BT150" s="38"/>
      <c r="BU150" s="38"/>
      <c r="BV150" s="38"/>
      <c r="BW150" s="38"/>
      <c r="BX150" s="38"/>
      <c r="BY150" s="38"/>
      <c r="BZ150" s="38"/>
      <c r="CA150" s="38"/>
      <c r="CB150" s="38"/>
      <c r="CC150" s="38"/>
      <c r="CD150" s="89">
        <f t="shared" si="411"/>
        <v>0</v>
      </c>
      <c r="CE150" s="38"/>
      <c r="CF150" s="38"/>
      <c r="CG150" s="38"/>
      <c r="CH150" s="38"/>
      <c r="CI150" s="38"/>
      <c r="CJ150" s="38"/>
      <c r="CK150" s="38"/>
      <c r="CL150" s="38"/>
      <c r="CM150" s="38"/>
      <c r="CN150" s="38"/>
      <c r="CO150" s="38"/>
      <c r="CP150" s="38"/>
      <c r="CQ150" s="89">
        <f t="shared" si="414"/>
        <v>0</v>
      </c>
      <c r="DD150" s="89"/>
    </row>
    <row r="151" spans="1:115" ht="14.25" hidden="1" customHeight="1" outlineLevel="2" x14ac:dyDescent="0.4">
      <c r="A151" s="37"/>
      <c r="B151" t="s">
        <v>160</v>
      </c>
      <c r="C151" s="88">
        <f t="shared" si="408"/>
        <v>0</v>
      </c>
      <c r="D151" s="38"/>
      <c r="E151" s="38"/>
      <c r="H151" s="38"/>
      <c r="I151" s="38"/>
      <c r="J151" s="38"/>
      <c r="K151" s="38"/>
      <c r="L151" s="38"/>
      <c r="M151" s="38"/>
      <c r="N151" s="38"/>
      <c r="O151" s="38"/>
      <c r="P151" s="38"/>
      <c r="Q151" s="89"/>
      <c r="R151" s="38"/>
      <c r="S151" s="38"/>
      <c r="T151" s="38"/>
      <c r="U151" s="38"/>
      <c r="V151" s="38"/>
      <c r="W151" s="38"/>
      <c r="X151" s="38"/>
      <c r="Y151" s="38"/>
      <c r="Z151" s="38"/>
      <c r="AA151" s="38"/>
      <c r="AB151" s="38"/>
      <c r="AC151" s="38"/>
      <c r="AD151" s="89"/>
      <c r="AE151" s="38"/>
      <c r="AF151" s="38"/>
      <c r="AG151" s="38"/>
      <c r="AH151" s="38"/>
      <c r="AI151" s="38"/>
      <c r="AJ151" s="38"/>
      <c r="AK151" s="38"/>
      <c r="AL151" s="38"/>
      <c r="AM151" s="38"/>
      <c r="AN151" s="38"/>
      <c r="AO151" s="38"/>
      <c r="AP151" s="38"/>
      <c r="AQ151" s="615">
        <f t="shared" si="403"/>
        <v>0</v>
      </c>
      <c r="AR151" s="38"/>
      <c r="AS151" s="38"/>
      <c r="AT151" s="38"/>
      <c r="AU151" s="38"/>
      <c r="AV151" s="38"/>
      <c r="AW151" s="38"/>
      <c r="AX151" s="38"/>
      <c r="AY151" s="38"/>
      <c r="AZ151" s="38"/>
      <c r="BA151" s="38"/>
      <c r="BB151" s="38"/>
      <c r="BC151" s="38"/>
      <c r="BD151" s="89">
        <f t="shared" si="410"/>
        <v>0</v>
      </c>
      <c r="BE151" s="38"/>
      <c r="BF151" s="38"/>
      <c r="BG151" s="38"/>
      <c r="BH151" s="38"/>
      <c r="BI151" s="38"/>
      <c r="BJ151" s="38"/>
      <c r="BK151" s="38"/>
      <c r="BL151" s="38"/>
      <c r="BM151" s="38"/>
      <c r="BN151" s="38"/>
      <c r="BO151" s="38"/>
      <c r="BP151" s="38"/>
      <c r="BQ151" s="89">
        <f t="shared" si="413"/>
        <v>0</v>
      </c>
      <c r="BR151" s="38"/>
      <c r="BS151" s="38"/>
      <c r="BT151" s="38"/>
      <c r="BU151" s="38"/>
      <c r="BV151" s="38"/>
      <c r="BW151" s="38"/>
      <c r="BX151" s="38"/>
      <c r="BY151" s="38"/>
      <c r="BZ151" s="38"/>
      <c r="CA151" s="38"/>
      <c r="CB151" s="38"/>
      <c r="CC151" s="38"/>
      <c r="CD151" s="89">
        <f t="shared" si="411"/>
        <v>0</v>
      </c>
      <c r="CE151" s="38"/>
      <c r="CF151" s="38"/>
      <c r="CG151" s="38"/>
      <c r="CH151" s="38"/>
      <c r="CI151" s="38"/>
      <c r="CJ151" s="38"/>
      <c r="CK151" s="38"/>
      <c r="CL151" s="38"/>
      <c r="CM151" s="38"/>
      <c r="CN151" s="38"/>
      <c r="CO151" s="38"/>
      <c r="CP151" s="38"/>
      <c r="CQ151" s="89">
        <f t="shared" si="414"/>
        <v>0</v>
      </c>
      <c r="DD151" s="89"/>
    </row>
    <row r="152" spans="1:115" ht="14.25" hidden="1" customHeight="1" outlineLevel="2" x14ac:dyDescent="0.4">
      <c r="A152" s="37"/>
      <c r="B152" t="s">
        <v>161</v>
      </c>
      <c r="C152" s="88">
        <f t="shared" si="408"/>
        <v>0</v>
      </c>
      <c r="D152" s="38"/>
      <c r="E152" s="38"/>
      <c r="H152" s="38"/>
      <c r="I152" s="38"/>
      <c r="J152" s="38"/>
      <c r="K152" s="38"/>
      <c r="L152" s="38"/>
      <c r="M152" s="38"/>
      <c r="N152" s="38"/>
      <c r="O152" s="38"/>
      <c r="P152" s="38"/>
      <c r="Q152" s="89"/>
      <c r="R152" s="38"/>
      <c r="S152" s="38"/>
      <c r="T152" s="38"/>
      <c r="U152" s="38"/>
      <c r="V152" s="38"/>
      <c r="W152" s="38"/>
      <c r="X152" s="38"/>
      <c r="Y152" s="38"/>
      <c r="Z152" s="38"/>
      <c r="AA152" s="38"/>
      <c r="AB152" s="38"/>
      <c r="AC152" s="38"/>
      <c r="AD152" s="89"/>
      <c r="AE152" s="38"/>
      <c r="AF152" s="38"/>
      <c r="AG152" s="38"/>
      <c r="AH152" s="38"/>
      <c r="AI152" s="38"/>
      <c r="AJ152" s="38"/>
      <c r="AK152" s="38"/>
      <c r="AL152" s="38"/>
      <c r="AM152" s="38"/>
      <c r="AN152" s="38"/>
      <c r="AO152" s="38"/>
      <c r="AP152" s="38"/>
      <c r="AQ152" s="615">
        <f t="shared" si="403"/>
        <v>0</v>
      </c>
      <c r="AR152" s="38"/>
      <c r="AS152" s="38"/>
      <c r="AT152" s="38"/>
      <c r="AU152" s="38"/>
      <c r="AV152" s="38"/>
      <c r="AW152" s="38"/>
      <c r="AX152" s="38"/>
      <c r="AY152" s="38"/>
      <c r="AZ152" s="38"/>
      <c r="BA152" s="38"/>
      <c r="BB152" s="38"/>
      <c r="BC152" s="38"/>
      <c r="BD152" s="89">
        <f t="shared" si="410"/>
        <v>0</v>
      </c>
      <c r="BE152" s="38"/>
      <c r="BF152" s="38"/>
      <c r="BG152" s="38"/>
      <c r="BH152" s="38"/>
      <c r="BI152" s="38"/>
      <c r="BJ152" s="38"/>
      <c r="BK152" s="38"/>
      <c r="BL152" s="38"/>
      <c r="BM152" s="38"/>
      <c r="BN152" s="38"/>
      <c r="BO152" s="38"/>
      <c r="BP152" s="38"/>
      <c r="BQ152" s="89">
        <f t="shared" si="413"/>
        <v>0</v>
      </c>
      <c r="BR152" s="38"/>
      <c r="BS152" s="38"/>
      <c r="BT152" s="38"/>
      <c r="BU152" s="38"/>
      <c r="BV152" s="38"/>
      <c r="BW152" s="38"/>
      <c r="BX152" s="38"/>
      <c r="BY152" s="38"/>
      <c r="BZ152" s="38"/>
      <c r="CA152" s="38"/>
      <c r="CB152" s="38"/>
      <c r="CC152" s="38"/>
      <c r="CD152" s="89">
        <f t="shared" si="411"/>
        <v>0</v>
      </c>
      <c r="CE152" s="38"/>
      <c r="CF152" s="38"/>
      <c r="CG152" s="38"/>
      <c r="CH152" s="38"/>
      <c r="CI152" s="38"/>
      <c r="CJ152" s="38"/>
      <c r="CK152" s="38"/>
      <c r="CL152" s="38"/>
      <c r="CM152" s="38"/>
      <c r="CN152" s="38"/>
      <c r="CO152" s="38"/>
      <c r="CP152" s="38"/>
      <c r="CQ152" s="89">
        <f t="shared" si="414"/>
        <v>0</v>
      </c>
      <c r="DD152" s="89"/>
    </row>
    <row r="153" spans="1:115" ht="14.25" hidden="1" customHeight="1" outlineLevel="2" x14ac:dyDescent="0.4">
      <c r="A153" s="37"/>
      <c r="B153" t="s">
        <v>162</v>
      </c>
      <c r="C153" s="88">
        <f t="shared" si="408"/>
        <v>0</v>
      </c>
      <c r="D153" s="38"/>
      <c r="E153" s="38"/>
      <c r="H153" s="38"/>
      <c r="I153" s="38"/>
      <c r="J153" s="38"/>
      <c r="K153" s="38"/>
      <c r="L153" s="38"/>
      <c r="M153" s="38"/>
      <c r="N153" s="38"/>
      <c r="O153" s="38"/>
      <c r="P153" s="38"/>
      <c r="Q153" s="89"/>
      <c r="R153" s="38"/>
      <c r="S153" s="38"/>
      <c r="T153" s="38"/>
      <c r="U153" s="38"/>
      <c r="V153" s="38"/>
      <c r="W153" s="38"/>
      <c r="X153" s="38"/>
      <c r="Y153" s="38"/>
      <c r="Z153" s="38"/>
      <c r="AA153" s="38"/>
      <c r="AB153" s="38"/>
      <c r="AC153" s="38"/>
      <c r="AD153" s="89"/>
      <c r="AE153" s="38"/>
      <c r="AF153" s="38"/>
      <c r="AG153" s="38"/>
      <c r="AH153" s="38"/>
      <c r="AI153" s="38"/>
      <c r="AJ153" s="38"/>
      <c r="AK153" s="38"/>
      <c r="AL153" s="38"/>
      <c r="AM153" s="38"/>
      <c r="AN153" s="38"/>
      <c r="AO153" s="38"/>
      <c r="AP153" s="38"/>
      <c r="AQ153" s="615">
        <f t="shared" si="403"/>
        <v>0</v>
      </c>
      <c r="AR153" s="38"/>
      <c r="AS153" s="38"/>
      <c r="AT153" s="38"/>
      <c r="AU153" s="38"/>
      <c r="AV153" s="38"/>
      <c r="AW153" s="38"/>
      <c r="AX153" s="38"/>
      <c r="AY153" s="38"/>
      <c r="AZ153" s="38"/>
      <c r="BA153" s="38"/>
      <c r="BB153" s="38"/>
      <c r="BC153" s="38"/>
      <c r="BD153" s="89">
        <f t="shared" si="410"/>
        <v>0</v>
      </c>
      <c r="BE153" s="38"/>
      <c r="BF153" s="38"/>
      <c r="BG153" s="38"/>
      <c r="BH153" s="38"/>
      <c r="BI153" s="38"/>
      <c r="BJ153" s="38"/>
      <c r="BK153" s="38"/>
      <c r="BL153" s="38"/>
      <c r="BM153" s="38"/>
      <c r="BN153" s="38"/>
      <c r="BO153" s="38"/>
      <c r="BP153" s="38"/>
      <c r="BQ153" s="89">
        <f t="shared" si="413"/>
        <v>0</v>
      </c>
      <c r="BR153" s="38"/>
      <c r="BS153" s="38"/>
      <c r="BT153" s="38"/>
      <c r="BU153" s="38"/>
      <c r="BV153" s="38"/>
      <c r="BW153" s="38"/>
      <c r="BX153" s="38"/>
      <c r="BY153" s="38"/>
      <c r="BZ153" s="38"/>
      <c r="CA153" s="38"/>
      <c r="CB153" s="38"/>
      <c r="CC153" s="38"/>
      <c r="CD153" s="89">
        <f t="shared" si="411"/>
        <v>0</v>
      </c>
      <c r="CE153" s="38"/>
      <c r="CF153" s="38"/>
      <c r="CG153" s="38"/>
      <c r="CH153" s="38"/>
      <c r="CI153" s="38"/>
      <c r="CJ153" s="38"/>
      <c r="CK153" s="38"/>
      <c r="CL153" s="38"/>
      <c r="CM153" s="38"/>
      <c r="CN153" s="38"/>
      <c r="CO153" s="38"/>
      <c r="CP153" s="38"/>
      <c r="CQ153" s="89">
        <f t="shared" si="414"/>
        <v>0</v>
      </c>
      <c r="DD153" s="89"/>
    </row>
    <row r="154" spans="1:115" ht="14.25" hidden="1" customHeight="1" outlineLevel="2" x14ac:dyDescent="0.4">
      <c r="A154" s="37"/>
      <c r="B154" t="s">
        <v>163</v>
      </c>
      <c r="C154" s="88">
        <f t="shared" si="408"/>
        <v>0</v>
      </c>
      <c r="D154" s="38"/>
      <c r="E154" s="38"/>
      <c r="H154" s="38"/>
      <c r="I154" s="38"/>
      <c r="J154" s="38"/>
      <c r="K154" s="38"/>
      <c r="L154" s="38"/>
      <c r="M154" s="38"/>
      <c r="N154" s="38"/>
      <c r="O154" s="38"/>
      <c r="P154" s="38"/>
      <c r="Q154" s="89"/>
      <c r="R154" s="38"/>
      <c r="S154" s="38"/>
      <c r="T154" s="38"/>
      <c r="U154" s="38"/>
      <c r="V154" s="38"/>
      <c r="W154" s="38"/>
      <c r="X154" s="38"/>
      <c r="Y154" s="38"/>
      <c r="Z154" s="38"/>
      <c r="AA154" s="38"/>
      <c r="AB154" s="38"/>
      <c r="AC154" s="38"/>
      <c r="AD154" s="89"/>
      <c r="AE154" s="38"/>
      <c r="AF154" s="38"/>
      <c r="AG154" s="38"/>
      <c r="AH154" s="38"/>
      <c r="AI154" s="38"/>
      <c r="AJ154" s="38"/>
      <c r="AK154" s="38"/>
      <c r="AL154" s="38"/>
      <c r="AM154" s="38"/>
      <c r="AN154" s="38"/>
      <c r="AO154" s="38"/>
      <c r="AP154" s="38"/>
      <c r="AQ154" s="615">
        <f t="shared" si="403"/>
        <v>0</v>
      </c>
      <c r="AR154" s="38"/>
      <c r="AS154" s="38"/>
      <c r="AT154" s="38"/>
      <c r="AU154" s="38"/>
      <c r="AV154" s="38"/>
      <c r="AW154" s="38"/>
      <c r="AX154" s="38"/>
      <c r="AY154" s="38"/>
      <c r="AZ154" s="38"/>
      <c r="BA154" s="38"/>
      <c r="BB154" s="38"/>
      <c r="BC154" s="38"/>
      <c r="BD154" s="89">
        <f t="shared" si="410"/>
        <v>0</v>
      </c>
      <c r="BE154" s="38"/>
      <c r="BF154" s="38"/>
      <c r="BG154" s="38"/>
      <c r="BH154" s="38"/>
      <c r="BI154" s="38"/>
      <c r="BJ154" s="38"/>
      <c r="BK154" s="38"/>
      <c r="BL154" s="38"/>
      <c r="BM154" s="38"/>
      <c r="BN154" s="38"/>
      <c r="BO154" s="38"/>
      <c r="BP154" s="38"/>
      <c r="BQ154" s="89">
        <f t="shared" si="413"/>
        <v>0</v>
      </c>
      <c r="BR154" s="38"/>
      <c r="BS154" s="38"/>
      <c r="BT154" s="38"/>
      <c r="BU154" s="38"/>
      <c r="BV154" s="38"/>
      <c r="BW154" s="38"/>
      <c r="BX154" s="38"/>
      <c r="BY154" s="38"/>
      <c r="BZ154" s="38"/>
      <c r="CA154" s="38"/>
      <c r="CB154" s="38"/>
      <c r="CC154" s="38"/>
      <c r="CD154" s="89">
        <f t="shared" si="411"/>
        <v>0</v>
      </c>
      <c r="CE154" s="38"/>
      <c r="CF154" s="38"/>
      <c r="CG154" s="38"/>
      <c r="CH154" s="38"/>
      <c r="CI154" s="38"/>
      <c r="CJ154" s="38"/>
      <c r="CK154" s="38"/>
      <c r="CL154" s="38"/>
      <c r="CM154" s="38"/>
      <c r="CN154" s="38"/>
      <c r="CO154" s="38"/>
      <c r="CP154" s="38"/>
      <c r="CQ154" s="89">
        <f t="shared" si="414"/>
        <v>0</v>
      </c>
      <c r="DD154" s="89"/>
    </row>
    <row r="155" spans="1:115" ht="14.25" hidden="1" customHeight="1" outlineLevel="2" x14ac:dyDescent="0.4">
      <c r="A155" s="37"/>
      <c r="B155" t="s">
        <v>164</v>
      </c>
      <c r="C155" s="88">
        <f t="shared" si="408"/>
        <v>0</v>
      </c>
      <c r="D155" s="38"/>
      <c r="E155" s="38"/>
      <c r="H155" s="38"/>
      <c r="I155" s="38"/>
      <c r="J155" s="38"/>
      <c r="K155" s="38"/>
      <c r="L155" s="38"/>
      <c r="M155" s="38"/>
      <c r="N155" s="38"/>
      <c r="O155" s="38"/>
      <c r="P155" s="38"/>
      <c r="Q155" s="89"/>
      <c r="R155" s="38"/>
      <c r="S155" s="38"/>
      <c r="T155" s="38"/>
      <c r="U155" s="38"/>
      <c r="V155" s="38"/>
      <c r="W155" s="38"/>
      <c r="X155" s="38"/>
      <c r="Y155" s="38"/>
      <c r="Z155" s="38"/>
      <c r="AA155" s="38"/>
      <c r="AB155" s="38"/>
      <c r="AC155" s="38"/>
      <c r="AD155" s="89"/>
      <c r="AE155" s="38"/>
      <c r="AF155" s="38"/>
      <c r="AG155" s="38"/>
      <c r="AH155" s="38"/>
      <c r="AI155" s="38"/>
      <c r="AJ155" s="38"/>
      <c r="AK155" s="38"/>
      <c r="AL155" s="38"/>
      <c r="AM155" s="38"/>
      <c r="AN155" s="38"/>
      <c r="AO155" s="38"/>
      <c r="AP155" s="38"/>
      <c r="AQ155" s="615">
        <f t="shared" si="403"/>
        <v>0</v>
      </c>
      <c r="AR155" s="38"/>
      <c r="AS155" s="38"/>
      <c r="AT155" s="38"/>
      <c r="AU155" s="38"/>
      <c r="AV155" s="38"/>
      <c r="AW155" s="38"/>
      <c r="AX155" s="38"/>
      <c r="AY155" s="38"/>
      <c r="AZ155" s="38"/>
      <c r="BA155" s="38"/>
      <c r="BB155" s="38"/>
      <c r="BC155" s="38"/>
      <c r="BD155" s="89">
        <f t="shared" si="410"/>
        <v>0</v>
      </c>
      <c r="BE155" s="38"/>
      <c r="BF155" s="38"/>
      <c r="BG155" s="38"/>
      <c r="BH155" s="38"/>
      <c r="BI155" s="38"/>
      <c r="BJ155" s="38"/>
      <c r="BK155" s="38"/>
      <c r="BL155" s="38"/>
      <c r="BM155" s="38"/>
      <c r="BN155" s="38"/>
      <c r="BO155" s="38"/>
      <c r="BP155" s="38"/>
      <c r="BQ155" s="89">
        <f t="shared" si="413"/>
        <v>0</v>
      </c>
      <c r="BR155" s="38"/>
      <c r="BS155" s="38"/>
      <c r="BT155" s="38"/>
      <c r="BU155" s="38"/>
      <c r="BV155" s="38"/>
      <c r="BW155" s="38"/>
      <c r="BX155" s="38"/>
      <c r="BY155" s="38"/>
      <c r="BZ155" s="38"/>
      <c r="CA155" s="38"/>
      <c r="CB155" s="38"/>
      <c r="CC155" s="38"/>
      <c r="CD155" s="89">
        <f t="shared" si="411"/>
        <v>0</v>
      </c>
      <c r="CE155" s="38"/>
      <c r="CF155" s="38"/>
      <c r="CG155" s="38"/>
      <c r="CH155" s="38"/>
      <c r="CI155" s="38"/>
      <c r="CJ155" s="38"/>
      <c r="CK155" s="38"/>
      <c r="CL155" s="38"/>
      <c r="CM155" s="38"/>
      <c r="CN155" s="38"/>
      <c r="CO155" s="38"/>
      <c r="CP155" s="38"/>
      <c r="CQ155" s="89">
        <f t="shared" si="414"/>
        <v>0</v>
      </c>
      <c r="DD155" s="89"/>
    </row>
    <row r="156" spans="1:115" ht="14.25" hidden="1" customHeight="1" outlineLevel="2" x14ac:dyDescent="0.4">
      <c r="A156" s="37"/>
      <c r="B156" t="s">
        <v>165</v>
      </c>
      <c r="C156" s="88">
        <f t="shared" si="408"/>
        <v>0</v>
      </c>
      <c r="D156" s="38"/>
      <c r="E156" s="38"/>
      <c r="H156" s="38"/>
      <c r="I156" s="38"/>
      <c r="J156" s="38"/>
      <c r="K156" s="38"/>
      <c r="L156" s="38"/>
      <c r="M156" s="38"/>
      <c r="N156" s="38"/>
      <c r="O156" s="38"/>
      <c r="P156" s="38"/>
      <c r="Q156" s="89"/>
      <c r="R156" s="38"/>
      <c r="S156" s="38"/>
      <c r="T156" s="38"/>
      <c r="U156" s="38"/>
      <c r="V156" s="38"/>
      <c r="W156" s="38"/>
      <c r="X156" s="38"/>
      <c r="Y156" s="38"/>
      <c r="Z156" s="38"/>
      <c r="AA156" s="38"/>
      <c r="AB156" s="38"/>
      <c r="AC156" s="38"/>
      <c r="AD156" s="89"/>
      <c r="AE156" s="38"/>
      <c r="AF156" s="38"/>
      <c r="AG156" s="38"/>
      <c r="AH156" s="38"/>
      <c r="AI156" s="38"/>
      <c r="AJ156" s="38"/>
      <c r="AK156" s="38"/>
      <c r="AL156" s="38"/>
      <c r="AM156" s="38"/>
      <c r="AN156" s="38"/>
      <c r="AO156" s="38"/>
      <c r="AP156" s="38"/>
      <c r="AQ156" s="615">
        <f t="shared" si="403"/>
        <v>0</v>
      </c>
      <c r="AR156" s="38"/>
      <c r="AS156" s="38"/>
      <c r="AT156" s="38"/>
      <c r="AU156" s="38"/>
      <c r="AV156" s="38"/>
      <c r="AW156" s="38"/>
      <c r="AX156" s="38"/>
      <c r="AY156" s="38"/>
      <c r="AZ156" s="38"/>
      <c r="BA156" s="38"/>
      <c r="BB156" s="38"/>
      <c r="BC156" s="38"/>
      <c r="BD156" s="89">
        <f t="shared" si="410"/>
        <v>0</v>
      </c>
      <c r="BE156" s="38"/>
      <c r="BF156" s="38"/>
      <c r="BG156" s="38"/>
      <c r="BH156" s="38"/>
      <c r="BI156" s="38"/>
      <c r="BJ156" s="38"/>
      <c r="BK156" s="38"/>
      <c r="BL156" s="38"/>
      <c r="BM156" s="38"/>
      <c r="BN156" s="38"/>
      <c r="BO156" s="38"/>
      <c r="BP156" s="38"/>
      <c r="BQ156" s="89">
        <f t="shared" si="413"/>
        <v>0</v>
      </c>
      <c r="BR156" s="38"/>
      <c r="BS156" s="38"/>
      <c r="BT156" s="38"/>
      <c r="BU156" s="38"/>
      <c r="BV156" s="38"/>
      <c r="BW156" s="38"/>
      <c r="BX156" s="38"/>
      <c r="BY156" s="38"/>
      <c r="BZ156" s="38"/>
      <c r="CA156" s="38"/>
      <c r="CB156" s="38"/>
      <c r="CC156" s="38"/>
      <c r="CD156" s="89">
        <f t="shared" si="411"/>
        <v>0</v>
      </c>
      <c r="CE156" s="38"/>
      <c r="CF156" s="38"/>
      <c r="CG156" s="38"/>
      <c r="CH156" s="38"/>
      <c r="CI156" s="38"/>
      <c r="CJ156" s="38"/>
      <c r="CK156" s="38"/>
      <c r="CL156" s="38"/>
      <c r="CM156" s="38"/>
      <c r="CN156" s="38"/>
      <c r="CO156" s="38"/>
      <c r="CP156" s="38"/>
      <c r="CQ156" s="89">
        <f t="shared" si="414"/>
        <v>0</v>
      </c>
      <c r="DD156" s="89"/>
    </row>
    <row r="157" spans="1:115" ht="14.25" hidden="1" customHeight="1" outlineLevel="2" x14ac:dyDescent="0.4">
      <c r="A157" s="37"/>
      <c r="B157" t="s">
        <v>166</v>
      </c>
      <c r="C157" s="88">
        <f t="shared" si="408"/>
        <v>0</v>
      </c>
      <c r="D157" s="38"/>
      <c r="E157" s="38"/>
      <c r="H157" s="38"/>
      <c r="I157" s="38"/>
      <c r="J157" s="38"/>
      <c r="K157" s="38"/>
      <c r="L157" s="38"/>
      <c r="M157" s="38"/>
      <c r="N157" s="38"/>
      <c r="O157" s="38"/>
      <c r="P157" s="38"/>
      <c r="Q157" s="89"/>
      <c r="R157" s="38"/>
      <c r="S157" s="38"/>
      <c r="T157" s="38"/>
      <c r="U157" s="38"/>
      <c r="V157" s="38"/>
      <c r="W157" s="38"/>
      <c r="X157" s="38"/>
      <c r="Y157" s="38"/>
      <c r="Z157" s="38"/>
      <c r="AA157" s="38"/>
      <c r="AB157" s="38"/>
      <c r="AC157" s="38"/>
      <c r="AD157" s="89"/>
      <c r="AE157" s="38"/>
      <c r="AF157" s="38"/>
      <c r="AG157" s="38"/>
      <c r="AH157" s="38"/>
      <c r="AI157" s="38"/>
      <c r="AJ157" s="38"/>
      <c r="AK157" s="38"/>
      <c r="AL157" s="38"/>
      <c r="AM157" s="38"/>
      <c r="AN157" s="38"/>
      <c r="AO157" s="38"/>
      <c r="AP157" s="38"/>
      <c r="AQ157" s="615">
        <f t="shared" si="403"/>
        <v>0</v>
      </c>
      <c r="AR157" s="38"/>
      <c r="AS157" s="38"/>
      <c r="AT157" s="38"/>
      <c r="AU157" s="38"/>
      <c r="AV157" s="38"/>
      <c r="AW157" s="38"/>
      <c r="AX157" s="38"/>
      <c r="AY157" s="38"/>
      <c r="AZ157" s="38"/>
      <c r="BA157" s="38"/>
      <c r="BB157" s="38"/>
      <c r="BC157" s="38"/>
      <c r="BD157" s="89">
        <f t="shared" si="410"/>
        <v>0</v>
      </c>
      <c r="BE157" s="38"/>
      <c r="BF157" s="38"/>
      <c r="BG157" s="38"/>
      <c r="BH157" s="38"/>
      <c r="BI157" s="38"/>
      <c r="BJ157" s="38"/>
      <c r="BK157" s="38"/>
      <c r="BL157" s="38"/>
      <c r="BM157" s="38"/>
      <c r="BN157" s="38"/>
      <c r="BO157" s="38"/>
      <c r="BP157" s="38"/>
      <c r="BQ157" s="89">
        <f t="shared" si="413"/>
        <v>0</v>
      </c>
      <c r="BR157" s="38"/>
      <c r="BS157" s="38"/>
      <c r="BT157" s="38"/>
      <c r="BU157" s="38"/>
      <c r="BV157" s="38"/>
      <c r="BW157" s="38"/>
      <c r="BX157" s="38"/>
      <c r="BY157" s="38"/>
      <c r="BZ157" s="38"/>
      <c r="CA157" s="38"/>
      <c r="CB157" s="38"/>
      <c r="CC157" s="38"/>
      <c r="CD157" s="89">
        <f t="shared" si="411"/>
        <v>0</v>
      </c>
      <c r="CE157" s="38"/>
      <c r="CF157" s="38"/>
      <c r="CG157" s="38"/>
      <c r="CH157" s="38"/>
      <c r="CI157" s="38"/>
      <c r="CJ157" s="38"/>
      <c r="CK157" s="38"/>
      <c r="CL157" s="38"/>
      <c r="CM157" s="38"/>
      <c r="CN157" s="38"/>
      <c r="CO157" s="38"/>
      <c r="CP157" s="38"/>
      <c r="CQ157" s="89">
        <f t="shared" si="414"/>
        <v>0</v>
      </c>
      <c r="DD157" s="89"/>
    </row>
    <row r="158" spans="1:115" ht="14.25" hidden="1" customHeight="1" outlineLevel="2" x14ac:dyDescent="0.4">
      <c r="A158" s="37"/>
      <c r="B158" t="s">
        <v>167</v>
      </c>
      <c r="C158" s="88">
        <f t="shared" si="408"/>
        <v>0</v>
      </c>
      <c r="D158" s="38"/>
      <c r="E158" s="38"/>
      <c r="H158" s="38"/>
      <c r="I158" s="38"/>
      <c r="J158" s="38"/>
      <c r="K158" s="38"/>
      <c r="L158" s="38"/>
      <c r="M158" s="38"/>
      <c r="N158" s="38"/>
      <c r="O158" s="38"/>
      <c r="P158" s="38"/>
      <c r="Q158" s="89"/>
      <c r="R158" s="38"/>
      <c r="S158" s="38"/>
      <c r="T158" s="38"/>
      <c r="U158" s="38"/>
      <c r="V158" s="38"/>
      <c r="W158" s="38"/>
      <c r="X158" s="38"/>
      <c r="Y158" s="38"/>
      <c r="Z158" s="38"/>
      <c r="AA158" s="38"/>
      <c r="AB158" s="38"/>
      <c r="AC158" s="38"/>
      <c r="AD158" s="89"/>
      <c r="AE158" s="38"/>
      <c r="AF158" s="38"/>
      <c r="AG158" s="38"/>
      <c r="AH158" s="38"/>
      <c r="AI158" s="38"/>
      <c r="AJ158" s="38"/>
      <c r="AK158" s="38"/>
      <c r="AL158" s="38"/>
      <c r="AM158" s="38"/>
      <c r="AN158" s="38"/>
      <c r="AO158" s="38"/>
      <c r="AP158" s="38"/>
      <c r="AQ158" s="615">
        <f t="shared" si="403"/>
        <v>0</v>
      </c>
      <c r="AR158" s="38"/>
      <c r="AS158" s="38"/>
      <c r="AT158" s="38"/>
      <c r="AU158" s="38"/>
      <c r="AV158" s="38"/>
      <c r="AW158" s="38"/>
      <c r="AX158" s="38"/>
      <c r="AY158" s="38"/>
      <c r="AZ158" s="38"/>
      <c r="BA158" s="38"/>
      <c r="BB158" s="38"/>
      <c r="BC158" s="38"/>
      <c r="BD158" s="89">
        <f t="shared" si="410"/>
        <v>0</v>
      </c>
      <c r="BE158" s="38"/>
      <c r="BF158" s="38"/>
      <c r="BG158" s="38"/>
      <c r="BH158" s="38"/>
      <c r="BI158" s="38"/>
      <c r="BJ158" s="38"/>
      <c r="BK158" s="38"/>
      <c r="BL158" s="38"/>
      <c r="BM158" s="38"/>
      <c r="BN158" s="38"/>
      <c r="BO158" s="38"/>
      <c r="BP158" s="38"/>
      <c r="BQ158" s="89">
        <f t="shared" si="413"/>
        <v>0</v>
      </c>
      <c r="BR158" s="38"/>
      <c r="BS158" s="38"/>
      <c r="BT158" s="38"/>
      <c r="BU158" s="38"/>
      <c r="BV158" s="38"/>
      <c r="BW158" s="38"/>
      <c r="BX158" s="38"/>
      <c r="BY158" s="38"/>
      <c r="BZ158" s="38"/>
      <c r="CA158" s="38"/>
      <c r="CB158" s="38"/>
      <c r="CC158" s="38"/>
      <c r="CD158" s="89">
        <f t="shared" si="411"/>
        <v>0</v>
      </c>
      <c r="CE158" s="38"/>
      <c r="CF158" s="38"/>
      <c r="CG158" s="38"/>
      <c r="CH158" s="38"/>
      <c r="CI158" s="38"/>
      <c r="CJ158" s="38"/>
      <c r="CK158" s="38"/>
      <c r="CL158" s="38"/>
      <c r="CM158" s="38"/>
      <c r="CN158" s="38"/>
      <c r="CO158" s="38"/>
      <c r="CP158" s="38"/>
      <c r="CQ158" s="89">
        <f t="shared" si="414"/>
        <v>0</v>
      </c>
      <c r="DD158" s="89"/>
    </row>
    <row r="159" spans="1:115" ht="14.25" hidden="1" customHeight="1" outlineLevel="2" x14ac:dyDescent="0.4">
      <c r="A159" s="37"/>
      <c r="B159" t="s">
        <v>168</v>
      </c>
      <c r="C159" s="88">
        <f t="shared" si="408"/>
        <v>0</v>
      </c>
      <c r="D159" s="38"/>
      <c r="E159" s="38"/>
      <c r="H159" s="38"/>
      <c r="I159" s="38"/>
      <c r="J159" s="38"/>
      <c r="K159" s="38"/>
      <c r="L159" s="38"/>
      <c r="M159" s="38"/>
      <c r="N159" s="38"/>
      <c r="O159" s="38"/>
      <c r="P159" s="38"/>
      <c r="Q159" s="89"/>
      <c r="R159" s="38"/>
      <c r="S159" s="38"/>
      <c r="T159" s="38"/>
      <c r="U159" s="38"/>
      <c r="V159" s="38"/>
      <c r="W159" s="38"/>
      <c r="X159" s="38"/>
      <c r="Y159" s="38"/>
      <c r="Z159" s="38"/>
      <c r="AA159" s="38"/>
      <c r="AB159" s="38"/>
      <c r="AC159" s="38"/>
      <c r="AD159" s="89"/>
      <c r="AE159" s="38"/>
      <c r="AF159" s="38"/>
      <c r="AG159" s="38"/>
      <c r="AH159" s="38"/>
      <c r="AI159" s="38"/>
      <c r="AJ159" s="38"/>
      <c r="AK159" s="38"/>
      <c r="AL159" s="38"/>
      <c r="AM159" s="38"/>
      <c r="AN159" s="38"/>
      <c r="AO159" s="38"/>
      <c r="AP159" s="38"/>
      <c r="AQ159" s="615">
        <f t="shared" si="403"/>
        <v>0</v>
      </c>
      <c r="AR159" s="38"/>
      <c r="AS159" s="38"/>
      <c r="AT159" s="38"/>
      <c r="AU159" s="38"/>
      <c r="AV159" s="38"/>
      <c r="AW159" s="38"/>
      <c r="AX159" s="38"/>
      <c r="AY159" s="38"/>
      <c r="AZ159" s="38"/>
      <c r="BA159" s="38"/>
      <c r="BB159" s="38"/>
      <c r="BC159" s="38"/>
      <c r="BD159" s="89">
        <f t="shared" si="410"/>
        <v>0</v>
      </c>
      <c r="BE159" s="38"/>
      <c r="BF159" s="38"/>
      <c r="BG159" s="38"/>
      <c r="BH159" s="38"/>
      <c r="BI159" s="38"/>
      <c r="BJ159" s="38"/>
      <c r="BK159" s="38"/>
      <c r="BL159" s="38"/>
      <c r="BM159" s="38"/>
      <c r="BN159" s="38"/>
      <c r="BO159" s="38"/>
      <c r="BP159" s="38"/>
      <c r="BQ159" s="89">
        <f t="shared" si="413"/>
        <v>0</v>
      </c>
      <c r="BR159" s="38"/>
      <c r="BS159" s="38"/>
      <c r="BT159" s="38"/>
      <c r="BU159" s="38"/>
      <c r="BV159" s="38"/>
      <c r="BW159" s="38"/>
      <c r="BX159" s="38"/>
      <c r="BY159" s="38"/>
      <c r="BZ159" s="38"/>
      <c r="CA159" s="38"/>
      <c r="CB159" s="38"/>
      <c r="CC159" s="38"/>
      <c r="CD159" s="89">
        <f t="shared" si="411"/>
        <v>0</v>
      </c>
      <c r="CE159" s="38"/>
      <c r="CF159" s="38"/>
      <c r="CG159" s="38"/>
      <c r="CH159" s="38"/>
      <c r="CI159" s="38"/>
      <c r="CJ159" s="38"/>
      <c r="CK159" s="38"/>
      <c r="CL159" s="38"/>
      <c r="CM159" s="38"/>
      <c r="CN159" s="38"/>
      <c r="CO159" s="38"/>
      <c r="CP159" s="38"/>
      <c r="CQ159" s="89">
        <f t="shared" si="414"/>
        <v>0</v>
      </c>
      <c r="DD159" s="89"/>
    </row>
    <row r="160" spans="1:115" ht="14.25" hidden="1" customHeight="1" outlineLevel="2" x14ac:dyDescent="0.4">
      <c r="A160" s="37"/>
      <c r="B160" t="s">
        <v>169</v>
      </c>
      <c r="C160" s="88">
        <f t="shared" si="408"/>
        <v>0</v>
      </c>
      <c r="D160" s="38"/>
      <c r="E160" s="38"/>
      <c r="H160" s="38"/>
      <c r="I160" s="38"/>
      <c r="J160" s="38"/>
      <c r="K160" s="38"/>
      <c r="L160" s="38"/>
      <c r="M160" s="38"/>
      <c r="N160" s="38"/>
      <c r="O160" s="38"/>
      <c r="P160" s="38"/>
      <c r="Q160" s="89"/>
      <c r="R160" s="38"/>
      <c r="S160" s="38"/>
      <c r="T160" s="38"/>
      <c r="U160" s="38"/>
      <c r="V160" s="38"/>
      <c r="W160" s="38"/>
      <c r="X160" s="38"/>
      <c r="Y160" s="38"/>
      <c r="Z160" s="38"/>
      <c r="AA160" s="38"/>
      <c r="AB160" s="38"/>
      <c r="AC160" s="38"/>
      <c r="AD160" s="89"/>
      <c r="AE160" s="38"/>
      <c r="AF160" s="38"/>
      <c r="AG160" s="38"/>
      <c r="AH160" s="38"/>
      <c r="AI160" s="38"/>
      <c r="AJ160" s="38"/>
      <c r="AK160" s="38"/>
      <c r="AL160" s="38"/>
      <c r="AM160" s="38"/>
      <c r="AN160" s="38"/>
      <c r="AO160" s="38"/>
      <c r="AP160" s="38"/>
      <c r="AQ160" s="615">
        <f t="shared" si="403"/>
        <v>0</v>
      </c>
      <c r="AR160" s="38"/>
      <c r="AS160" s="38"/>
      <c r="AT160" s="38"/>
      <c r="AU160" s="38"/>
      <c r="AV160" s="38"/>
      <c r="AW160" s="38"/>
      <c r="AX160" s="38"/>
      <c r="AY160" s="38"/>
      <c r="AZ160" s="38"/>
      <c r="BA160" s="38"/>
      <c r="BB160" s="38"/>
      <c r="BC160" s="38"/>
      <c r="BD160" s="89">
        <f t="shared" si="410"/>
        <v>0</v>
      </c>
      <c r="BE160" s="38"/>
      <c r="BF160" s="38"/>
      <c r="BG160" s="38"/>
      <c r="BH160" s="38"/>
      <c r="BI160" s="38"/>
      <c r="BJ160" s="38"/>
      <c r="BK160" s="38"/>
      <c r="BL160" s="38"/>
      <c r="BM160" s="38"/>
      <c r="BN160" s="38"/>
      <c r="BO160" s="38"/>
      <c r="BP160" s="38"/>
      <c r="BQ160" s="89">
        <f t="shared" si="413"/>
        <v>0</v>
      </c>
      <c r="BR160" s="38"/>
      <c r="BS160" s="38"/>
      <c r="BT160" s="38"/>
      <c r="BU160" s="38"/>
      <c r="BV160" s="38"/>
      <c r="BW160" s="38"/>
      <c r="BX160" s="38"/>
      <c r="BY160" s="38"/>
      <c r="BZ160" s="38"/>
      <c r="CA160" s="38"/>
      <c r="CB160" s="38"/>
      <c r="CC160" s="38"/>
      <c r="CD160" s="89">
        <f t="shared" si="411"/>
        <v>0</v>
      </c>
      <c r="CE160" s="38"/>
      <c r="CF160" s="38"/>
      <c r="CG160" s="38"/>
      <c r="CH160" s="38"/>
      <c r="CI160" s="38"/>
      <c r="CJ160" s="38"/>
      <c r="CK160" s="38"/>
      <c r="CL160" s="38"/>
      <c r="CM160" s="38"/>
      <c r="CN160" s="38"/>
      <c r="CO160" s="38"/>
      <c r="CP160" s="38"/>
      <c r="CQ160" s="89">
        <f t="shared" si="414"/>
        <v>0</v>
      </c>
      <c r="DD160" s="89"/>
    </row>
    <row r="161" spans="1:115" ht="14.25" hidden="1" customHeight="1" outlineLevel="2" x14ac:dyDescent="0.4">
      <c r="A161" s="37"/>
      <c r="B161" t="s">
        <v>170</v>
      </c>
      <c r="C161" s="88">
        <f t="shared" si="408"/>
        <v>0</v>
      </c>
      <c r="D161" s="38"/>
      <c r="E161" s="38"/>
      <c r="H161" s="38"/>
      <c r="I161" s="38"/>
      <c r="J161" s="38"/>
      <c r="K161" s="38"/>
      <c r="L161" s="38"/>
      <c r="M161" s="38"/>
      <c r="N161" s="38"/>
      <c r="O161" s="38"/>
      <c r="P161" s="38"/>
      <c r="Q161" s="89"/>
      <c r="R161" s="38"/>
      <c r="S161" s="38"/>
      <c r="T161" s="38"/>
      <c r="U161" s="38"/>
      <c r="V161" s="38"/>
      <c r="W161" s="38"/>
      <c r="X161" s="38"/>
      <c r="Y161" s="38"/>
      <c r="Z161" s="38"/>
      <c r="AA161" s="38"/>
      <c r="AB161" s="38"/>
      <c r="AC161" s="38"/>
      <c r="AD161" s="89"/>
      <c r="AE161" s="38"/>
      <c r="AF161" s="38"/>
      <c r="AG161" s="38"/>
      <c r="AH161" s="38"/>
      <c r="AI161" s="38"/>
      <c r="AJ161" s="38"/>
      <c r="AK161" s="38"/>
      <c r="AL161" s="38"/>
      <c r="AM161" s="38"/>
      <c r="AN161" s="38"/>
      <c r="AO161" s="38"/>
      <c r="AP161" s="38"/>
      <c r="AQ161" s="615">
        <f t="shared" si="403"/>
        <v>0</v>
      </c>
      <c r="AR161" s="38"/>
      <c r="AS161" s="38"/>
      <c r="AT161" s="38"/>
      <c r="AU161" s="38"/>
      <c r="AV161" s="38"/>
      <c r="AW161" s="38"/>
      <c r="AX161" s="38"/>
      <c r="AY161" s="38"/>
      <c r="AZ161" s="38"/>
      <c r="BA161" s="38"/>
      <c r="BB161" s="38"/>
      <c r="BC161" s="38"/>
      <c r="BD161" s="89">
        <f t="shared" si="410"/>
        <v>0</v>
      </c>
      <c r="BE161" s="38"/>
      <c r="BF161" s="38"/>
      <c r="BG161" s="38"/>
      <c r="BH161" s="38"/>
      <c r="BI161" s="38"/>
      <c r="BJ161" s="38"/>
      <c r="BK161" s="38"/>
      <c r="BL161" s="38"/>
      <c r="BM161" s="38"/>
      <c r="BN161" s="38"/>
      <c r="BO161" s="38"/>
      <c r="BP161" s="38"/>
      <c r="BQ161" s="89">
        <f t="shared" si="413"/>
        <v>0</v>
      </c>
      <c r="BR161" s="38"/>
      <c r="BS161" s="38"/>
      <c r="BT161" s="38"/>
      <c r="BU161" s="38"/>
      <c r="BV161" s="38"/>
      <c r="BW161" s="38"/>
      <c r="BX161" s="38"/>
      <c r="BY161" s="38"/>
      <c r="BZ161" s="38"/>
      <c r="CA161" s="38"/>
      <c r="CB161" s="38"/>
      <c r="CC161" s="38"/>
      <c r="CD161" s="89">
        <f t="shared" si="411"/>
        <v>0</v>
      </c>
      <c r="CE161" s="38"/>
      <c r="CF161" s="38"/>
      <c r="CG161" s="38"/>
      <c r="CH161" s="38"/>
      <c r="CI161" s="38"/>
      <c r="CJ161" s="38"/>
      <c r="CK161" s="38"/>
      <c r="CL161" s="38"/>
      <c r="CM161" s="38"/>
      <c r="CN161" s="38"/>
      <c r="CO161" s="38"/>
      <c r="CP161" s="38"/>
      <c r="CQ161" s="89">
        <f t="shared" si="414"/>
        <v>0</v>
      </c>
      <c r="DD161" s="89"/>
    </row>
    <row r="162" spans="1:115" ht="14.25" hidden="1" customHeight="1" outlineLevel="2" thickBot="1" x14ac:dyDescent="0.45">
      <c r="A162" s="114"/>
      <c r="B162" t="s">
        <v>171</v>
      </c>
      <c r="C162" s="88">
        <f t="shared" si="408"/>
        <v>0</v>
      </c>
      <c r="D162" s="112"/>
      <c r="E162" s="112"/>
      <c r="F162" s="109"/>
      <c r="G162" s="109"/>
      <c r="H162" s="112"/>
      <c r="I162" s="112"/>
      <c r="J162" s="112"/>
      <c r="K162" s="112"/>
      <c r="L162" s="112"/>
      <c r="M162" s="112"/>
      <c r="N162" s="112"/>
      <c r="O162" s="112"/>
      <c r="P162" s="112"/>
      <c r="Q162" s="113"/>
      <c r="R162" s="112"/>
      <c r="S162" s="112"/>
      <c r="T162" s="112"/>
      <c r="U162" s="112"/>
      <c r="V162" s="112"/>
      <c r="W162" s="112"/>
      <c r="X162" s="112"/>
      <c r="Y162" s="112"/>
      <c r="Z162" s="112"/>
      <c r="AA162" s="112"/>
      <c r="AB162" s="112"/>
      <c r="AC162" s="112"/>
      <c r="AD162" s="113"/>
      <c r="AE162" s="112"/>
      <c r="AF162" s="112"/>
      <c r="AG162" s="112"/>
      <c r="AH162" s="112"/>
      <c r="AI162" s="112"/>
      <c r="AJ162" s="112"/>
      <c r="AK162" s="112"/>
      <c r="AL162" s="112"/>
      <c r="AM162" s="112"/>
      <c r="AN162" s="112"/>
      <c r="AO162" s="112"/>
      <c r="AP162" s="112"/>
      <c r="AQ162" s="615">
        <f t="shared" si="403"/>
        <v>0</v>
      </c>
      <c r="AR162" s="112"/>
      <c r="AS162" s="112"/>
      <c r="AT162" s="112"/>
      <c r="AU162" s="112"/>
      <c r="AV162" s="112"/>
      <c r="AW162" s="112"/>
      <c r="AX162" s="112"/>
      <c r="AY162" s="112"/>
      <c r="AZ162" s="112"/>
      <c r="BA162" s="112"/>
      <c r="BB162" s="112"/>
      <c r="BC162" s="112"/>
      <c r="BD162" s="89">
        <f t="shared" si="410"/>
        <v>0</v>
      </c>
      <c r="BE162" s="112"/>
      <c r="BF162" s="112"/>
      <c r="BG162" s="112"/>
      <c r="BH162" s="112"/>
      <c r="BI162" s="112"/>
      <c r="BJ162" s="112"/>
      <c r="BK162" s="112"/>
      <c r="BL162" s="112"/>
      <c r="BM162" s="112"/>
      <c r="BN162" s="112"/>
      <c r="BO162" s="112"/>
      <c r="BP162" s="112"/>
      <c r="BQ162" s="89">
        <f t="shared" si="413"/>
        <v>0</v>
      </c>
      <c r="BR162" s="112"/>
      <c r="BS162" s="112"/>
      <c r="BT162" s="112"/>
      <c r="BU162" s="112"/>
      <c r="BV162" s="112"/>
      <c r="BW162" s="112"/>
      <c r="BX162" s="112"/>
      <c r="BY162" s="112"/>
      <c r="BZ162" s="112"/>
      <c r="CA162" s="112"/>
      <c r="CB162" s="112"/>
      <c r="CC162" s="112"/>
      <c r="CD162" s="89">
        <f t="shared" si="411"/>
        <v>0</v>
      </c>
      <c r="CE162" s="112"/>
      <c r="CF162" s="112"/>
      <c r="CG162" s="112"/>
      <c r="CH162" s="112"/>
      <c r="CI162" s="112"/>
      <c r="CJ162" s="112"/>
      <c r="CK162" s="112"/>
      <c r="CL162" s="112"/>
      <c r="CM162" s="112"/>
      <c r="CN162" s="112"/>
      <c r="CO162" s="112"/>
      <c r="CP162" s="112"/>
      <c r="CQ162" s="89">
        <f t="shared" si="414"/>
        <v>0</v>
      </c>
      <c r="CR162" s="109"/>
      <c r="CS162" s="109"/>
      <c r="CT162" s="109"/>
      <c r="CU162" s="109"/>
      <c r="CV162" s="109"/>
      <c r="CW162" s="109"/>
      <c r="CX162" s="109"/>
      <c r="CY162" s="109"/>
      <c r="CZ162" s="109"/>
      <c r="DA162" s="109"/>
      <c r="DB162" s="109"/>
      <c r="DC162" s="109"/>
      <c r="DD162" s="92"/>
      <c r="DE162" s="109"/>
      <c r="DF162" s="109"/>
      <c r="DG162" s="109"/>
      <c r="DH162" s="109"/>
      <c r="DI162" s="109"/>
      <c r="DJ162" s="109"/>
      <c r="DK162" s="109"/>
    </row>
    <row r="163" spans="1:115" ht="14.25" customHeight="1" x14ac:dyDescent="0.4">
      <c r="A163" s="37"/>
      <c r="B163" s="39" t="s">
        <v>671</v>
      </c>
      <c r="C163" s="88">
        <f t="shared" ref="C163" si="415">SUM(E163:DI163)-Q163-AD163-AQ163-BD163-BQ163-CD163-CQ163-DD163</f>
        <v>-52475259.766881034</v>
      </c>
      <c r="D163" s="38"/>
      <c r="E163" s="38">
        <f t="shared" ref="E163:AF163" si="416">E125+E131+E135+E139+E141+E145+E147</f>
        <v>0</v>
      </c>
      <c r="F163" s="38">
        <f t="shared" si="416"/>
        <v>0</v>
      </c>
      <c r="G163" s="38">
        <f t="shared" si="416"/>
        <v>0</v>
      </c>
      <c r="H163" s="38">
        <f t="shared" si="416"/>
        <v>0</v>
      </c>
      <c r="I163" s="38">
        <f t="shared" si="416"/>
        <v>0</v>
      </c>
      <c r="J163" s="38">
        <f t="shared" si="416"/>
        <v>0</v>
      </c>
      <c r="K163" s="38">
        <f t="shared" si="416"/>
        <v>0</v>
      </c>
      <c r="L163" s="38">
        <f t="shared" si="416"/>
        <v>0</v>
      </c>
      <c r="M163" s="38">
        <f t="shared" si="416"/>
        <v>0</v>
      </c>
      <c r="N163" s="38">
        <f t="shared" si="416"/>
        <v>0</v>
      </c>
      <c r="O163" s="38">
        <f t="shared" si="416"/>
        <v>0</v>
      </c>
      <c r="P163" s="38">
        <f t="shared" si="416"/>
        <v>0</v>
      </c>
      <c r="Q163" s="89">
        <f t="shared" si="416"/>
        <v>0</v>
      </c>
      <c r="R163" s="38">
        <f t="shared" si="416"/>
        <v>0</v>
      </c>
      <c r="S163" s="38">
        <f t="shared" si="416"/>
        <v>0</v>
      </c>
      <c r="T163" s="38">
        <f t="shared" si="416"/>
        <v>0</v>
      </c>
      <c r="U163" s="38">
        <f t="shared" si="416"/>
        <v>0</v>
      </c>
      <c r="V163" s="38">
        <f t="shared" si="416"/>
        <v>0</v>
      </c>
      <c r="W163" s="38">
        <f t="shared" si="416"/>
        <v>0</v>
      </c>
      <c r="X163" s="38">
        <f t="shared" si="416"/>
        <v>0</v>
      </c>
      <c r="Y163" s="38">
        <f t="shared" si="416"/>
        <v>0</v>
      </c>
      <c r="Z163" s="38">
        <f t="shared" si="416"/>
        <v>0</v>
      </c>
      <c r="AA163" s="38">
        <f t="shared" si="416"/>
        <v>0</v>
      </c>
      <c r="AB163" s="38">
        <f t="shared" si="416"/>
        <v>0</v>
      </c>
      <c r="AC163" s="38">
        <f t="shared" si="416"/>
        <v>0</v>
      </c>
      <c r="AD163" s="89">
        <f t="shared" si="416"/>
        <v>0</v>
      </c>
      <c r="AE163" s="38">
        <f t="shared" si="416"/>
        <v>0</v>
      </c>
      <c r="AF163" s="38">
        <f t="shared" si="416"/>
        <v>0</v>
      </c>
      <c r="AG163" s="38">
        <f t="shared" ref="AG163:AO163" si="417">AG119+AG131</f>
        <v>0</v>
      </c>
      <c r="AH163" s="38">
        <f t="shared" si="417"/>
        <v>-22500000</v>
      </c>
      <c r="AI163" s="38">
        <f t="shared" si="417"/>
        <v>-918039.04197529308</v>
      </c>
      <c r="AJ163" s="38">
        <f t="shared" si="417"/>
        <v>-905463.37676540087</v>
      </c>
      <c r="AK163" s="38">
        <f t="shared" si="417"/>
        <v>-892793.39406643447</v>
      </c>
      <c r="AL163" s="38">
        <f t="shared" si="417"/>
        <v>-880028.38649722596</v>
      </c>
      <c r="AM163" s="38">
        <f t="shared" si="417"/>
        <v>-867167.64137124829</v>
      </c>
      <c r="AN163" s="38">
        <f t="shared" si="417"/>
        <v>-854210.44065682578</v>
      </c>
      <c r="AO163" s="38">
        <f t="shared" si="417"/>
        <v>-841156.06093704503</v>
      </c>
      <c r="AP163" s="38">
        <f>AP115+AP119</f>
        <v>-1655526.3801895557</v>
      </c>
      <c r="AQ163" s="615">
        <f t="shared" si="403"/>
        <v>-30314384.722459026</v>
      </c>
      <c r="AR163" s="38">
        <f t="shared" ref="AR163:BC163" si="418">AR119+AR131</f>
        <v>-814752.84364492947</v>
      </c>
      <c r="AS163" s="38">
        <f t="shared" si="418"/>
        <v>-801402.53194755956</v>
      </c>
      <c r="AT163" s="38">
        <f t="shared" si="418"/>
        <v>-787952.0929124594</v>
      </c>
      <c r="AU163" s="38">
        <f t="shared" si="418"/>
        <v>-774400.77558459598</v>
      </c>
      <c r="AV163" s="38">
        <f t="shared" si="418"/>
        <v>-760747.82337677351</v>
      </c>
      <c r="AW163" s="38">
        <f t="shared" si="418"/>
        <v>-746992.47402739245</v>
      </c>
      <c r="AX163" s="38">
        <f t="shared" si="418"/>
        <v>-733133.95955789101</v>
      </c>
      <c r="AY163" s="38">
        <f t="shared" si="418"/>
        <v>-719171.50622986839</v>
      </c>
      <c r="AZ163" s="38">
        <f t="shared" si="418"/>
        <v>-705104.33450188546</v>
      </c>
      <c r="BA163" s="38">
        <f t="shared" si="418"/>
        <v>-690931.6589859426</v>
      </c>
      <c r="BB163" s="38">
        <f t="shared" si="418"/>
        <v>-676652.6884036304</v>
      </c>
      <c r="BC163" s="38">
        <f t="shared" si="418"/>
        <v>-662266.62554195069</v>
      </c>
      <c r="BD163" s="89">
        <f t="shared" si="410"/>
        <v>-8873509.3147148788</v>
      </c>
      <c r="BE163" s="38">
        <f t="shared" ref="BE163" si="419">BE119+BE131</f>
        <v>-647772.66720880847</v>
      </c>
      <c r="BF163" s="38">
        <f t="shared" ref="BF163:BP163" si="420">BF119+BF131</f>
        <v>-633170.00418816775</v>
      </c>
      <c r="BG163" s="38">
        <f t="shared" si="420"/>
        <v>-618457.82119487203</v>
      </c>
      <c r="BH163" s="38">
        <f t="shared" si="420"/>
        <v>-603635.29682912666</v>
      </c>
      <c r="BI163" s="38">
        <f t="shared" si="420"/>
        <v>-588701.60353063827</v>
      </c>
      <c r="BJ163" s="38">
        <f t="shared" si="420"/>
        <v>-573655.90753241105</v>
      </c>
      <c r="BK163" s="38">
        <f t="shared" si="420"/>
        <v>-558497.36881419725</v>
      </c>
      <c r="BL163" s="38">
        <f t="shared" si="420"/>
        <v>-543225.14105559688</v>
      </c>
      <c r="BM163" s="38">
        <f t="shared" si="420"/>
        <v>-527838.37158880697</v>
      </c>
      <c r="BN163" s="38">
        <f t="shared" si="420"/>
        <v>-512336.20135101624</v>
      </c>
      <c r="BO163" s="38">
        <f t="shared" si="420"/>
        <v>-496717.76483644196</v>
      </c>
      <c r="BP163" s="38">
        <f t="shared" si="420"/>
        <v>-480982.1900480084</v>
      </c>
      <c r="BQ163" s="89">
        <f t="shared" si="413"/>
        <v>-6784990.3381780908</v>
      </c>
      <c r="BR163" s="38">
        <f t="shared" ref="BR163:CC163" si="421">BR119+BR131</f>
        <v>-465128.59844866156</v>
      </c>
      <c r="BS163" s="38">
        <f t="shared" si="421"/>
        <v>-449156.10491231969</v>
      </c>
      <c r="BT163" s="38">
        <f t="shared" si="421"/>
        <v>-433063.81767445517</v>
      </c>
      <c r="BU163" s="38">
        <f t="shared" si="421"/>
        <v>-416850.83828230674</v>
      </c>
      <c r="BV163" s="38">
        <f t="shared" si="421"/>
        <v>-400516.26154471713</v>
      </c>
      <c r="BW163" s="38">
        <f t="shared" si="421"/>
        <v>-384059.17548159562</v>
      </c>
      <c r="BX163" s="38">
        <f t="shared" si="421"/>
        <v>-367478.6612730007</v>
      </c>
      <c r="BY163" s="38">
        <f t="shared" si="421"/>
        <v>-350773.79320784134</v>
      </c>
      <c r="BZ163" s="38">
        <f t="shared" si="421"/>
        <v>-333943.63863219327</v>
      </c>
      <c r="CA163" s="38">
        <f t="shared" si="421"/>
        <v>-316987.25789722789</v>
      </c>
      <c r="CB163" s="38">
        <f t="shared" si="421"/>
        <v>-299903.70430675021</v>
      </c>
      <c r="CC163" s="38">
        <f t="shared" si="421"/>
        <v>-282692.02406434395</v>
      </c>
      <c r="CD163" s="89">
        <f t="shared" si="411"/>
        <v>-4500553.8757254137</v>
      </c>
      <c r="CE163" s="38">
        <f t="shared" ref="CE163:CP163" si="422">CE119+CE131</f>
        <v>-265351.2562201196</v>
      </c>
      <c r="CF163" s="38">
        <f t="shared" si="422"/>
        <v>-247880.43261706363</v>
      </c>
      <c r="CG163" s="38">
        <f t="shared" si="422"/>
        <v>-230278.57783698471</v>
      </c>
      <c r="CH163" s="38">
        <f t="shared" si="422"/>
        <v>-212544.70914605519</v>
      </c>
      <c r="CI163" s="38">
        <f t="shared" si="422"/>
        <v>-194677.83643994373</v>
      </c>
      <c r="CJ163" s="38">
        <f t="shared" si="422"/>
        <v>-176676.96218853642</v>
      </c>
      <c r="CK163" s="38">
        <f t="shared" si="422"/>
        <v>-158541.08138024356</v>
      </c>
      <c r="CL163" s="38">
        <f t="shared" si="422"/>
        <v>-140269.18146588848</v>
      </c>
      <c r="CM163" s="38">
        <f t="shared" si="422"/>
        <v>-121860.24230217576</v>
      </c>
      <c r="CN163" s="38">
        <f t="shared" si="422"/>
        <v>-103313.2360947352</v>
      </c>
      <c r="CO163" s="38">
        <f t="shared" si="422"/>
        <v>-84627.127340738822</v>
      </c>
      <c r="CP163" s="38">
        <f t="shared" si="422"/>
        <v>-65800.872771087481</v>
      </c>
      <c r="CQ163" s="89">
        <f t="shared" si="414"/>
        <v>-2001821.5158035725</v>
      </c>
      <c r="DD163" s="86"/>
    </row>
    <row r="164" spans="1:115" ht="14.25" customHeight="1" thickBot="1" x14ac:dyDescent="0.45">
      <c r="A164" s="115"/>
      <c r="B164" s="39" t="s">
        <v>642</v>
      </c>
      <c r="C164" s="92">
        <f>AQ164+BD164+BQ164+CD164+CQ164</f>
        <v>-244416923.72779438</v>
      </c>
      <c r="D164" s="92"/>
      <c r="E164" s="110"/>
      <c r="F164" s="110"/>
      <c r="G164" s="110"/>
      <c r="H164" s="110"/>
      <c r="I164" s="110"/>
      <c r="J164" s="110"/>
      <c r="K164" s="110"/>
      <c r="L164" s="110"/>
      <c r="M164" s="110"/>
      <c r="N164" s="110"/>
      <c r="O164" s="110"/>
      <c r="P164" s="110">
        <f t="shared" ref="P164:Q164" si="423">P116+P122+P130+P138+P148+P142+P134+P128+P126+P124+P120</f>
        <v>0</v>
      </c>
      <c r="Q164" s="116">
        <f t="shared" si="423"/>
        <v>0</v>
      </c>
      <c r="R164" s="110">
        <f t="shared" ref="R164:CD164" si="424">R116+R122+R130+R138+R148+R142+R134+R128+R126+R124+R120+R136+R132+R140+R144+R146+R150+R152+R154</f>
        <v>0</v>
      </c>
      <c r="S164" s="110">
        <f t="shared" si="424"/>
        <v>0</v>
      </c>
      <c r="T164" s="110">
        <f t="shared" si="424"/>
        <v>0</v>
      </c>
      <c r="U164" s="110">
        <f t="shared" si="424"/>
        <v>0</v>
      </c>
      <c r="V164" s="110">
        <f t="shared" si="424"/>
        <v>0</v>
      </c>
      <c r="W164" s="110">
        <f t="shared" si="424"/>
        <v>0</v>
      </c>
      <c r="X164" s="110">
        <f t="shared" si="424"/>
        <v>0</v>
      </c>
      <c r="Y164" s="110">
        <f t="shared" si="424"/>
        <v>0</v>
      </c>
      <c r="Z164" s="110">
        <f t="shared" si="424"/>
        <v>0</v>
      </c>
      <c r="AA164" s="110">
        <f t="shared" si="424"/>
        <v>0</v>
      </c>
      <c r="AB164" s="110">
        <f t="shared" si="424"/>
        <v>0</v>
      </c>
      <c r="AC164" s="110">
        <f t="shared" si="424"/>
        <v>0</v>
      </c>
      <c r="AD164" s="116">
        <f t="shared" si="424"/>
        <v>0</v>
      </c>
      <c r="AE164" s="110">
        <f t="shared" si="424"/>
        <v>-2698586.1794260219</v>
      </c>
      <c r="AF164" s="110">
        <f t="shared" si="424"/>
        <v>-1640033.7996399463</v>
      </c>
      <c r="AG164" s="110">
        <f t="shared" ref="AG164:AO164" si="425">AG116+AG120</f>
        <v>-1652334.0531372461</v>
      </c>
      <c r="AH164" s="110">
        <f t="shared" si="425"/>
        <v>-4259520.9618300255</v>
      </c>
      <c r="AI164" s="110">
        <f t="shared" si="425"/>
        <v>-3353967.3690437516</v>
      </c>
      <c r="AJ164" s="110">
        <f t="shared" si="425"/>
        <v>-3379122.1243115803</v>
      </c>
      <c r="AK164" s="110">
        <f t="shared" si="425"/>
        <v>-3404465.5402439171</v>
      </c>
      <c r="AL164" s="110">
        <f t="shared" si="425"/>
        <v>-3429999.0317957457</v>
      </c>
      <c r="AM164" s="110">
        <f t="shared" si="425"/>
        <v>-3455724.0245342143</v>
      </c>
      <c r="AN164" s="110">
        <f t="shared" si="425"/>
        <v>-3481641.9547182205</v>
      </c>
      <c r="AO164" s="110">
        <f t="shared" si="425"/>
        <v>-3507754.2693786072</v>
      </c>
      <c r="AP164" s="110">
        <f>AP116+AP120</f>
        <v>-3534062.4263989469</v>
      </c>
      <c r="AQ164" s="433">
        <f t="shared" ref="AQ164" si="426">SUM(AG164:AP164)</f>
        <v>-33458591.755392257</v>
      </c>
      <c r="AR164" s="110">
        <f t="shared" ref="AR164:CP164" si="427">AR116+AR120</f>
        <v>-3560567.894596939</v>
      </c>
      <c r="AS164" s="110">
        <f t="shared" si="427"/>
        <v>-3587272.1538064159</v>
      </c>
      <c r="AT164" s="110">
        <f t="shared" si="427"/>
        <v>-3614176.6949599641</v>
      </c>
      <c r="AU164" s="110">
        <f t="shared" si="427"/>
        <v>-3641283.0201721638</v>
      </c>
      <c r="AV164" s="110">
        <f t="shared" si="427"/>
        <v>-3668592.6428234549</v>
      </c>
      <c r="AW164" s="110">
        <f t="shared" si="427"/>
        <v>-3696107.087644631</v>
      </c>
      <c r="AX164" s="110">
        <f t="shared" si="427"/>
        <v>-3723827.8908019657</v>
      </c>
      <c r="AY164" s="110">
        <f t="shared" si="427"/>
        <v>-3751756.5999829802</v>
      </c>
      <c r="AZ164" s="110">
        <f t="shared" si="427"/>
        <v>-3779894.7744828528</v>
      </c>
      <c r="BA164" s="110">
        <f t="shared" si="427"/>
        <v>-3808243.985291474</v>
      </c>
      <c r="BB164" s="110">
        <f t="shared" si="427"/>
        <v>-3836805.8151811603</v>
      </c>
      <c r="BC164" s="110">
        <f t="shared" si="427"/>
        <v>-3865581.8587950189</v>
      </c>
      <c r="BD164" s="433">
        <f t="shared" si="410"/>
        <v>-44534110.418539025</v>
      </c>
      <c r="BE164" s="110">
        <f t="shared" si="427"/>
        <v>-3894573.7227359815</v>
      </c>
      <c r="BF164" s="110">
        <f t="shared" si="427"/>
        <v>-3923783.0256565008</v>
      </c>
      <c r="BG164" s="110">
        <f t="shared" si="427"/>
        <v>-3953211.3983489247</v>
      </c>
      <c r="BH164" s="110">
        <f t="shared" si="427"/>
        <v>-3982860.4838365419</v>
      </c>
      <c r="BI164" s="110">
        <f t="shared" si="427"/>
        <v>-4012731.9374653162</v>
      </c>
      <c r="BJ164" s="110">
        <f t="shared" si="427"/>
        <v>-4042827.4269963061</v>
      </c>
      <c r="BK164" s="110">
        <f t="shared" si="427"/>
        <v>-4073148.6326987781</v>
      </c>
      <c r="BL164" s="110">
        <f t="shared" si="427"/>
        <v>-4103697.2474440192</v>
      </c>
      <c r="BM164" s="110">
        <f t="shared" si="427"/>
        <v>-4134474.9767998494</v>
      </c>
      <c r="BN164" s="110">
        <f t="shared" si="427"/>
        <v>-4165483.5391258481</v>
      </c>
      <c r="BO164" s="110">
        <f t="shared" si="427"/>
        <v>-4196724.6656692922</v>
      </c>
      <c r="BP164" s="110">
        <f t="shared" si="427"/>
        <v>-4228200.1006618124</v>
      </c>
      <c r="BQ164" s="433">
        <f t="shared" si="413"/>
        <v>-48711717.157439172</v>
      </c>
      <c r="BR164" s="110">
        <f t="shared" si="427"/>
        <v>-4259911.601416775</v>
      </c>
      <c r="BS164" s="110">
        <f t="shared" si="427"/>
        <v>-4291860.9384274017</v>
      </c>
      <c r="BT164" s="110">
        <f t="shared" si="427"/>
        <v>-4324049.8954656068</v>
      </c>
      <c r="BU164" s="110">
        <f t="shared" si="427"/>
        <v>-4356480.269681599</v>
      </c>
      <c r="BV164" s="110">
        <f t="shared" si="427"/>
        <v>-4389153.8717042105</v>
      </c>
      <c r="BW164" s="110">
        <f t="shared" si="427"/>
        <v>-4422072.5257419925</v>
      </c>
      <c r="BX164" s="110">
        <f t="shared" si="427"/>
        <v>-4455238.0696850568</v>
      </c>
      <c r="BY164" s="110">
        <f t="shared" si="427"/>
        <v>-4488652.3552076947</v>
      </c>
      <c r="BZ164" s="110">
        <f t="shared" si="427"/>
        <v>-4522317.2478717528</v>
      </c>
      <c r="CA164" s="110">
        <f t="shared" si="427"/>
        <v>-4556234.6272307914</v>
      </c>
      <c r="CB164" s="110">
        <f t="shared" si="427"/>
        <v>-4590406.3869350217</v>
      </c>
      <c r="CC164" s="110">
        <f t="shared" si="427"/>
        <v>-4624834.434837034</v>
      </c>
      <c r="CD164" s="116">
        <f t="shared" si="424"/>
        <v>-53281212.224204943</v>
      </c>
      <c r="CE164" s="110">
        <f t="shared" si="427"/>
        <v>-4659520.6930983122</v>
      </c>
      <c r="CF164" s="110">
        <f t="shared" si="427"/>
        <v>-4694467.0982965492</v>
      </c>
      <c r="CG164" s="110">
        <f t="shared" si="427"/>
        <v>-4729675.6015337743</v>
      </c>
      <c r="CH164" s="110">
        <f t="shared" si="427"/>
        <v>-4765148.1685452769</v>
      </c>
      <c r="CI164" s="110">
        <f t="shared" si="427"/>
        <v>-4800886.7798093669</v>
      </c>
      <c r="CJ164" s="110">
        <f t="shared" si="427"/>
        <v>-4836893.4306579372</v>
      </c>
      <c r="CK164" s="110">
        <f t="shared" si="427"/>
        <v>-4873170.1313878717</v>
      </c>
      <c r="CL164" s="110">
        <f t="shared" si="427"/>
        <v>-4909718.9073732812</v>
      </c>
      <c r="CM164" s="110">
        <f t="shared" si="427"/>
        <v>-4946541.7991785798</v>
      </c>
      <c r="CN164" s="110">
        <f t="shared" si="427"/>
        <v>-4983640.8626724193</v>
      </c>
      <c r="CO164" s="110">
        <f t="shared" si="427"/>
        <v>-5021018.1691424623</v>
      </c>
      <c r="CP164" s="110">
        <f t="shared" si="427"/>
        <v>-11210610.530523164</v>
      </c>
      <c r="CQ164" s="116">
        <f>CQ116+CQ122+CQ130+CQ138+CQ148+CQ142+CQ134+CQ128+CQ126+CQ124+CQ120+CQ136+CQ132+CQ140+CQ144+CQ146+CQ150+CQ152+CQ154</f>
        <v>-64431292.172218986</v>
      </c>
      <c r="CR164" s="110"/>
      <c r="CS164" s="110"/>
      <c r="CT164" s="110"/>
      <c r="CU164" s="110"/>
      <c r="CV164" s="110"/>
      <c r="CW164" s="110"/>
      <c r="CX164" s="110"/>
      <c r="CY164" s="110"/>
      <c r="CZ164" s="110"/>
      <c r="DA164" s="110"/>
      <c r="DB164" s="110"/>
      <c r="DC164" s="110"/>
      <c r="DD164" s="116"/>
      <c r="DE164" s="110"/>
      <c r="DF164" s="110"/>
      <c r="DG164" s="110"/>
      <c r="DH164" s="110"/>
      <c r="DI164" s="110"/>
      <c r="DJ164" s="110"/>
      <c r="DK164" s="110"/>
    </row>
    <row r="165" spans="1:115" ht="14.25" customHeight="1" x14ac:dyDescent="0.4">
      <c r="A165" s="24"/>
      <c r="B165" s="24"/>
      <c r="C165" s="88"/>
      <c r="D165" s="49"/>
      <c r="E165" s="49"/>
      <c r="F165" s="49"/>
      <c r="G165" s="49"/>
      <c r="H165" s="49"/>
      <c r="I165" s="49"/>
      <c r="J165" s="49"/>
      <c r="K165" s="49"/>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c r="AM165" s="49"/>
      <c r="AN165" s="49"/>
      <c r="AO165" s="49"/>
      <c r="AP165" s="49"/>
      <c r="AQ165" s="49"/>
      <c r="BD165" s="49"/>
      <c r="BE165" s="49"/>
      <c r="BF165" s="49"/>
      <c r="BG165" s="49"/>
      <c r="BH165" s="49"/>
      <c r="BI165" s="49"/>
      <c r="BJ165" s="49"/>
      <c r="BK165" s="49"/>
      <c r="BL165" s="49"/>
      <c r="BM165" s="49"/>
      <c r="BN165" s="49"/>
      <c r="BO165" s="49"/>
      <c r="BP165" s="49"/>
      <c r="BQ165" s="49"/>
      <c r="BR165" s="49"/>
      <c r="BS165" s="49"/>
      <c r="BT165" s="49"/>
      <c r="BU165" s="49"/>
      <c r="BV165" s="49"/>
      <c r="BW165" s="49"/>
      <c r="BX165" s="49"/>
      <c r="BY165" s="49"/>
      <c r="BZ165" s="49"/>
      <c r="CA165" s="49"/>
      <c r="CB165" s="49"/>
      <c r="CC165" s="49"/>
      <c r="CD165" s="49"/>
      <c r="CE165" s="49"/>
      <c r="CF165" s="49"/>
      <c r="CG165" s="49"/>
      <c r="CH165" s="49"/>
      <c r="CI165" s="49"/>
      <c r="CJ165" s="49"/>
      <c r="CK165" s="49"/>
      <c r="CL165" s="49"/>
      <c r="CM165" s="49"/>
      <c r="CN165" s="49"/>
      <c r="CO165" s="49"/>
      <c r="CP165" s="39"/>
      <c r="CQ165" s="49"/>
      <c r="CR165" s="24"/>
      <c r="CS165" s="24"/>
      <c r="CT165" s="24"/>
      <c r="CU165" s="24"/>
      <c r="CV165" s="24"/>
      <c r="CW165" s="24"/>
      <c r="CX165" s="24"/>
      <c r="CY165" s="24"/>
      <c r="CZ165" s="24"/>
      <c r="DA165" s="24"/>
      <c r="DB165" s="24"/>
      <c r="DC165" s="24"/>
      <c r="DD165" s="24"/>
      <c r="DE165" s="24"/>
      <c r="DF165" s="24"/>
      <c r="DG165" s="24"/>
      <c r="DH165" s="24"/>
      <c r="DI165" s="24"/>
      <c r="DJ165" s="24"/>
      <c r="DK165" s="24"/>
    </row>
    <row r="166" spans="1:115" ht="14.25" customHeight="1" x14ac:dyDescent="0.4">
      <c r="A166" s="94"/>
      <c r="B166" s="24" t="s">
        <v>621</v>
      </c>
      <c r="C166" s="88"/>
      <c r="D166" s="87"/>
      <c r="E166" s="88">
        <f>E110+E114</f>
        <v>191974117.58333334</v>
      </c>
      <c r="F166" s="88">
        <f>F110+F114</f>
        <v>189015964.16666669</v>
      </c>
      <c r="G166" s="88">
        <f>G110+G114</f>
        <v>340173328.25</v>
      </c>
      <c r="H166" s="88">
        <f t="shared" ref="H166:AP166" si="428">H110+H114</f>
        <v>356747096.13333333</v>
      </c>
      <c r="I166" s="88">
        <f t="shared" si="428"/>
        <v>345524724.33266664</v>
      </c>
      <c r="J166" s="88">
        <f t="shared" si="428"/>
        <v>334460370.26599997</v>
      </c>
      <c r="K166" s="88">
        <f t="shared" si="428"/>
        <v>346061732.88599998</v>
      </c>
      <c r="L166" s="88">
        <f t="shared" si="428"/>
        <v>331705925.96944392</v>
      </c>
      <c r="M166" s="88">
        <f t="shared" si="428"/>
        <v>313263737.73288786</v>
      </c>
      <c r="N166" s="88">
        <f t="shared" si="428"/>
        <v>293146180.80149776</v>
      </c>
      <c r="O166" s="88">
        <f t="shared" si="428"/>
        <v>266024574.02677432</v>
      </c>
      <c r="P166" s="88">
        <f t="shared" si="428"/>
        <v>240141018.22066075</v>
      </c>
      <c r="Q166" s="89">
        <f>P181</f>
        <v>240141018.22066075</v>
      </c>
      <c r="R166" s="88">
        <f t="shared" si="428"/>
        <v>192990554.81788051</v>
      </c>
      <c r="S166" s="88">
        <f t="shared" si="428"/>
        <v>149594397.99176693</v>
      </c>
      <c r="T166" s="88">
        <f t="shared" si="428"/>
        <v>110465795.28092991</v>
      </c>
      <c r="U166" s="88">
        <f t="shared" si="428"/>
        <v>78480815.525369436</v>
      </c>
      <c r="V166" s="88">
        <f t="shared" si="428"/>
        <v>52584510.385085501</v>
      </c>
      <c r="W166" s="88">
        <f t="shared" si="428"/>
        <v>33823078.200078115</v>
      </c>
      <c r="X166" s="88">
        <f t="shared" si="428"/>
        <v>21129570.630347274</v>
      </c>
      <c r="Y166" s="88">
        <f t="shared" si="428"/>
        <v>15595936.015892982</v>
      </c>
      <c r="Z166" s="88">
        <f t="shared" si="428"/>
        <v>16137226.016715243</v>
      </c>
      <c r="AA166" s="88">
        <f t="shared" si="428"/>
        <v>23814888.972814061</v>
      </c>
      <c r="AB166" s="88">
        <f t="shared" si="428"/>
        <v>37583976.544189416</v>
      </c>
      <c r="AC166" s="88">
        <f t="shared" si="428"/>
        <v>58501437.07084132</v>
      </c>
      <c r="AD166" s="89">
        <f>AC181</f>
        <v>58501437.07084132</v>
      </c>
      <c r="AE166" s="88">
        <f t="shared" si="428"/>
        <v>62638502.244636446</v>
      </c>
      <c r="AF166" s="88">
        <f t="shared" si="428"/>
        <v>105608706.62577742</v>
      </c>
      <c r="AG166" s="88">
        <f t="shared" si="428"/>
        <v>100912749.73105396</v>
      </c>
      <c r="AH166" s="88">
        <f t="shared" si="428"/>
        <v>89903789.253036261</v>
      </c>
      <c r="AI166" s="88">
        <f t="shared" si="428"/>
        <v>127623317.64831282</v>
      </c>
      <c r="AJ166" s="88">
        <f t="shared" si="428"/>
        <v>137114976.29358938</v>
      </c>
      <c r="AK166" s="88">
        <f t="shared" si="428"/>
        <v>143142554.86886591</v>
      </c>
      <c r="AL166" s="88">
        <f t="shared" si="428"/>
        <v>146738891.5274758</v>
      </c>
      <c r="AM166" s="88">
        <f t="shared" si="428"/>
        <v>148547012.0274758</v>
      </c>
      <c r="AN166" s="88">
        <f t="shared" si="428"/>
        <v>148528512.0274758</v>
      </c>
      <c r="AO166" s="88">
        <f t="shared" si="428"/>
        <v>148548512.0274758</v>
      </c>
      <c r="AP166" s="88">
        <f t="shared" si="428"/>
        <v>148547012.0274758</v>
      </c>
      <c r="AQ166" s="89">
        <f>AP166</f>
        <v>148547012.0274758</v>
      </c>
      <c r="AR166" s="88">
        <f t="shared" ref="AR166:BC166" si="429">AR110+AR114</f>
        <v>148504732.57821712</v>
      </c>
      <c r="AS166" s="88">
        <f t="shared" si="429"/>
        <v>189493155.05159947</v>
      </c>
      <c r="AT166" s="88">
        <f t="shared" si="429"/>
        <v>189491655.05159947</v>
      </c>
      <c r="AU166" s="88">
        <f t="shared" si="429"/>
        <v>189478155.05159947</v>
      </c>
      <c r="AV166" s="88">
        <f t="shared" si="429"/>
        <v>189493155.05159947</v>
      </c>
      <c r="AW166" s="88">
        <f t="shared" si="429"/>
        <v>189491655.05159947</v>
      </c>
      <c r="AX166" s="88">
        <f t="shared" si="429"/>
        <v>189478155.05159947</v>
      </c>
      <c r="AY166" s="88">
        <f t="shared" si="429"/>
        <v>189493155.05159947</v>
      </c>
      <c r="AZ166" s="88">
        <f t="shared" si="429"/>
        <v>189491655.05159947</v>
      </c>
      <c r="BA166" s="88">
        <f t="shared" si="429"/>
        <v>189473155.05159947</v>
      </c>
      <c r="BB166" s="88">
        <f t="shared" si="429"/>
        <v>189493155.05159947</v>
      </c>
      <c r="BC166" s="88">
        <f t="shared" si="429"/>
        <v>189491655.05159947</v>
      </c>
      <c r="BD166" s="89">
        <f>BC166</f>
        <v>189491655.05159947</v>
      </c>
      <c r="BE166" s="88">
        <f>BE110+BE114</f>
        <v>189451844.42437044</v>
      </c>
      <c r="BF166" s="88">
        <f t="shared" ref="BF166:CP166" si="430">BF110+BF114</f>
        <v>211519070.86402249</v>
      </c>
      <c r="BG166" s="88">
        <f t="shared" si="430"/>
        <v>211516813.74402249</v>
      </c>
      <c r="BH166" s="88">
        <f t="shared" si="430"/>
        <v>211503313.74402249</v>
      </c>
      <c r="BI166" s="88">
        <f t="shared" si="430"/>
        <v>211517526.33922249</v>
      </c>
      <c r="BJ166" s="88">
        <f t="shared" si="430"/>
        <v>211516026.33922249</v>
      </c>
      <c r="BK166" s="88">
        <f t="shared" si="430"/>
        <v>211501707.43823048</v>
      </c>
      <c r="BL166" s="88">
        <f t="shared" si="430"/>
        <v>211516707.43823048</v>
      </c>
      <c r="BM166" s="88">
        <f t="shared" si="430"/>
        <v>211514355.78119883</v>
      </c>
      <c r="BN166" s="88">
        <f t="shared" si="430"/>
        <v>211495855.7811988</v>
      </c>
      <c r="BO166" s="88">
        <f t="shared" si="430"/>
        <v>211514970.05788586</v>
      </c>
      <c r="BP166" s="88">
        <f t="shared" si="430"/>
        <v>211513470.05788586</v>
      </c>
      <c r="BQ166" s="118">
        <f t="shared" ref="BQ166:BQ167" si="431">SUM(BE166:BP166)</f>
        <v>2516081662.0095129</v>
      </c>
      <c r="BR166" s="88">
        <f t="shared" si="430"/>
        <v>211473376.76372668</v>
      </c>
      <c r="BS166" s="88">
        <f t="shared" si="430"/>
        <v>212802634.31873301</v>
      </c>
      <c r="BT166" s="88">
        <f t="shared" si="430"/>
        <v>212801134.31873301</v>
      </c>
      <c r="BU166" s="88">
        <f t="shared" si="430"/>
        <v>212787634.31873301</v>
      </c>
      <c r="BV166" s="88">
        <f t="shared" si="430"/>
        <v>212802634.31873301</v>
      </c>
      <c r="BW166" s="88">
        <f t="shared" si="430"/>
        <v>212801134.31873301</v>
      </c>
      <c r="BX166" s="88">
        <f t="shared" si="430"/>
        <v>212787634.31873301</v>
      </c>
      <c r="BY166" s="88">
        <f t="shared" si="430"/>
        <v>212802634.31873301</v>
      </c>
      <c r="BZ166" s="88">
        <f t="shared" si="430"/>
        <v>212801134.31873301</v>
      </c>
      <c r="CA166" s="88">
        <f t="shared" si="430"/>
        <v>212782634.31873301</v>
      </c>
      <c r="CB166" s="88">
        <f t="shared" si="430"/>
        <v>212802634.31873301</v>
      </c>
      <c r="CC166" s="88">
        <f t="shared" si="430"/>
        <v>212801134.31873301</v>
      </c>
      <c r="CD166" s="89">
        <f t="shared" si="430"/>
        <v>155715657.44625947</v>
      </c>
      <c r="CE166" s="88">
        <f t="shared" si="430"/>
        <v>212761483.50240299</v>
      </c>
      <c r="CF166" s="88">
        <f t="shared" si="430"/>
        <v>193335424.78568861</v>
      </c>
      <c r="CG166" s="88">
        <f t="shared" si="430"/>
        <v>188639457.68739209</v>
      </c>
      <c r="CH166" s="88">
        <f t="shared" si="430"/>
        <v>183896282.08585832</v>
      </c>
      <c r="CI166" s="88">
        <f t="shared" si="430"/>
        <v>179146133.91731301</v>
      </c>
      <c r="CJ166" s="88">
        <f t="shared" si="430"/>
        <v>174343747.13750365</v>
      </c>
      <c r="CK166" s="88">
        <f t="shared" si="430"/>
        <v>169493353.70684573</v>
      </c>
      <c r="CL166" s="88">
        <f t="shared" si="430"/>
        <v>164635183.57545784</v>
      </c>
      <c r="CM166" s="88">
        <f t="shared" si="430"/>
        <v>159723964.66808459</v>
      </c>
      <c r="CN166" s="88">
        <f t="shared" si="430"/>
        <v>154758922.86890599</v>
      </c>
      <c r="CO166" s="88">
        <f t="shared" si="430"/>
        <v>149795282.0062336</v>
      </c>
      <c r="CP166" s="38">
        <f t="shared" si="430"/>
        <v>138620829.11197898</v>
      </c>
      <c r="CQ166" s="88">
        <f>CP181</f>
        <v>14999999.999999985</v>
      </c>
      <c r="CR166" s="44"/>
      <c r="CS166" s="95"/>
      <c r="CT166" s="95"/>
      <c r="CU166" s="95"/>
      <c r="CV166" s="95"/>
      <c r="CW166" s="95"/>
      <c r="CX166" s="95"/>
      <c r="CY166" s="95"/>
      <c r="CZ166" s="95"/>
      <c r="DA166" s="95"/>
      <c r="DB166" s="95"/>
      <c r="DC166" s="95"/>
      <c r="DD166" s="95"/>
      <c r="DE166" s="95"/>
      <c r="DF166" s="95"/>
      <c r="DG166" s="95"/>
      <c r="DH166" s="95"/>
      <c r="DI166" s="95"/>
      <c r="DJ166" s="95"/>
      <c r="DK166" s="95"/>
    </row>
    <row r="167" spans="1:115" ht="14.25" customHeight="1" x14ac:dyDescent="0.4">
      <c r="A167" s="94">
        <v>17</v>
      </c>
      <c r="B167" s="24" t="s">
        <v>631</v>
      </c>
      <c r="C167" s="88"/>
      <c r="D167" s="87"/>
      <c r="E167" s="88"/>
      <c r="F167" s="88"/>
      <c r="G167" s="88"/>
      <c r="H167" s="88"/>
      <c r="I167" s="88"/>
      <c r="J167" s="88"/>
      <c r="K167" s="88"/>
      <c r="L167" s="88"/>
      <c r="M167" s="88"/>
      <c r="N167" s="88"/>
      <c r="O167" s="88"/>
      <c r="P167" s="88"/>
      <c r="Q167" s="89"/>
      <c r="R167" s="88"/>
      <c r="S167" s="88"/>
      <c r="T167" s="88"/>
      <c r="U167" s="88"/>
      <c r="V167" s="88"/>
      <c r="W167" s="88"/>
      <c r="X167" s="88"/>
      <c r="Y167" s="88"/>
      <c r="Z167" s="88"/>
      <c r="AA167" s="88"/>
      <c r="AB167" s="88"/>
      <c r="AC167" s="88"/>
      <c r="AD167" s="89"/>
      <c r="AE167" s="88">
        <f>-$C$20*0.1</f>
        <v>-25500000</v>
      </c>
      <c r="AF167" s="88">
        <f t="shared" ref="AF167:AP167" si="432">-$C$20*0.1</f>
        <v>-25500000</v>
      </c>
      <c r="AG167" s="88">
        <f t="shared" si="432"/>
        <v>-25500000</v>
      </c>
      <c r="AH167" s="88">
        <f t="shared" si="432"/>
        <v>-25500000</v>
      </c>
      <c r="AI167" s="88">
        <f t="shared" si="432"/>
        <v>-25500000</v>
      </c>
      <c r="AJ167" s="88">
        <f t="shared" si="432"/>
        <v>-25500000</v>
      </c>
      <c r="AK167" s="88">
        <f t="shared" si="432"/>
        <v>-25500000</v>
      </c>
      <c r="AL167" s="88">
        <f t="shared" si="432"/>
        <v>-25500000</v>
      </c>
      <c r="AM167" s="88">
        <f t="shared" si="432"/>
        <v>-25500000</v>
      </c>
      <c r="AN167" s="88">
        <f t="shared" si="432"/>
        <v>-25500000</v>
      </c>
      <c r="AO167" s="88">
        <f t="shared" si="432"/>
        <v>-25500000</v>
      </c>
      <c r="AP167" s="88">
        <f t="shared" si="432"/>
        <v>-25500000</v>
      </c>
      <c r="AQ167" s="89">
        <f>AP167</f>
        <v>-25500000</v>
      </c>
      <c r="AR167" s="88">
        <f>-($C$20+$AQ$164)*0.3</f>
        <v>-66462422.473382324</v>
      </c>
      <c r="AS167" s="88">
        <f t="shared" ref="AS167:BC167" si="433">-($C$20+$AQ$164)*0.3</f>
        <v>-66462422.473382324</v>
      </c>
      <c r="AT167" s="88">
        <f t="shared" si="433"/>
        <v>-66462422.473382324</v>
      </c>
      <c r="AU167" s="88">
        <f t="shared" si="433"/>
        <v>-66462422.473382324</v>
      </c>
      <c r="AV167" s="88">
        <f t="shared" si="433"/>
        <v>-66462422.473382324</v>
      </c>
      <c r="AW167" s="88">
        <f t="shared" si="433"/>
        <v>-66462422.473382324</v>
      </c>
      <c r="AX167" s="88">
        <f t="shared" si="433"/>
        <v>-66462422.473382324</v>
      </c>
      <c r="AY167" s="88">
        <f t="shared" si="433"/>
        <v>-66462422.473382324</v>
      </c>
      <c r="AZ167" s="88">
        <f t="shared" si="433"/>
        <v>-66462422.473382324</v>
      </c>
      <c r="BA167" s="88">
        <f t="shared" si="433"/>
        <v>-66462422.473382324</v>
      </c>
      <c r="BB167" s="88">
        <f t="shared" si="433"/>
        <v>-66462422.473382324</v>
      </c>
      <c r="BC167" s="88">
        <f t="shared" si="433"/>
        <v>-66462422.473382324</v>
      </c>
      <c r="BD167" s="89">
        <f>BC167</f>
        <v>-66462422.473382324</v>
      </c>
      <c r="BE167" s="88">
        <f>-($C$20+$AQ$164+$BD$164)*0.5</f>
        <v>-88503648.913034365</v>
      </c>
      <c r="BF167" s="88">
        <f t="shared" ref="BF167:BP167" si="434">-($C$20+$AQ$164+$BD$164)*0.5</f>
        <v>-88503648.913034365</v>
      </c>
      <c r="BG167" s="88">
        <f t="shared" si="434"/>
        <v>-88503648.913034365</v>
      </c>
      <c r="BH167" s="88">
        <f t="shared" si="434"/>
        <v>-88503648.913034365</v>
      </c>
      <c r="BI167" s="88">
        <f t="shared" si="434"/>
        <v>-88503648.913034365</v>
      </c>
      <c r="BJ167" s="88">
        <f t="shared" si="434"/>
        <v>-88503648.913034365</v>
      </c>
      <c r="BK167" s="88">
        <f t="shared" si="434"/>
        <v>-88503648.913034365</v>
      </c>
      <c r="BL167" s="88">
        <f t="shared" si="434"/>
        <v>-88503648.913034365</v>
      </c>
      <c r="BM167" s="88">
        <f t="shared" si="434"/>
        <v>-88503648.913034365</v>
      </c>
      <c r="BN167" s="88">
        <f t="shared" si="434"/>
        <v>-88503648.913034365</v>
      </c>
      <c r="BO167" s="88">
        <f t="shared" si="434"/>
        <v>-88503648.913034365</v>
      </c>
      <c r="BP167" s="88">
        <f t="shared" si="434"/>
        <v>-88503648.913034365</v>
      </c>
      <c r="BQ167" s="118">
        <f t="shared" si="431"/>
        <v>-1062043786.9564122</v>
      </c>
      <c r="BR167" s="88">
        <f>-($C$20+$AQ$164+$BD$164+$BQ$164)*0.7</f>
        <v>-89806906.46804069</v>
      </c>
      <c r="BS167" s="88">
        <f t="shared" ref="BS167:CC167" si="435">-($C$20+$AQ$164+$BD$164+$BQ$164)*0.7</f>
        <v>-89806906.46804069</v>
      </c>
      <c r="BT167" s="88">
        <f t="shared" si="435"/>
        <v>-89806906.46804069</v>
      </c>
      <c r="BU167" s="88">
        <f t="shared" si="435"/>
        <v>-89806906.46804069</v>
      </c>
      <c r="BV167" s="88">
        <f t="shared" si="435"/>
        <v>-89806906.46804069</v>
      </c>
      <c r="BW167" s="88">
        <f t="shared" si="435"/>
        <v>-89806906.46804069</v>
      </c>
      <c r="BX167" s="88">
        <f t="shared" si="435"/>
        <v>-89806906.46804069</v>
      </c>
      <c r="BY167" s="88">
        <f t="shared" si="435"/>
        <v>-89806906.46804069</v>
      </c>
      <c r="BZ167" s="88">
        <f t="shared" si="435"/>
        <v>-89806906.46804069</v>
      </c>
      <c r="CA167" s="88">
        <f t="shared" si="435"/>
        <v>-89806906.46804069</v>
      </c>
      <c r="CB167" s="88">
        <f t="shared" si="435"/>
        <v>-89806906.46804069</v>
      </c>
      <c r="CC167" s="88">
        <f t="shared" si="435"/>
        <v>-89806906.46804069</v>
      </c>
      <c r="CD167" s="89">
        <f>CC167</f>
        <v>-89806906.46804069</v>
      </c>
      <c r="CE167" s="88">
        <f>-($C$20+$AQ$164+$BD$164+$BQ$164+$CD$164+CE164)</f>
        <v>-70354847.751326308</v>
      </c>
      <c r="CF167" s="88">
        <f>CE167-CF164</f>
        <v>-65660380.653029755</v>
      </c>
      <c r="CG167" s="88">
        <f t="shared" ref="CG167:CO167" si="436">CF167-CG164</f>
        <v>-60930705.051495984</v>
      </c>
      <c r="CH167" s="88">
        <f t="shared" si="436"/>
        <v>-56165556.882950708</v>
      </c>
      <c r="CI167" s="88">
        <f t="shared" si="436"/>
        <v>-51364670.103141338</v>
      </c>
      <c r="CJ167" s="88">
        <f t="shared" si="436"/>
        <v>-46527776.6724834</v>
      </c>
      <c r="CK167" s="88">
        <f t="shared" si="436"/>
        <v>-41654606.541095525</v>
      </c>
      <c r="CL167" s="88">
        <f t="shared" si="436"/>
        <v>-36744887.633722246</v>
      </c>
      <c r="CM167" s="88">
        <f t="shared" si="436"/>
        <v>-31798345.834543668</v>
      </c>
      <c r="CN167" s="88">
        <f t="shared" si="436"/>
        <v>-26814704.971871249</v>
      </c>
      <c r="CO167" s="88">
        <f t="shared" si="436"/>
        <v>-21793686.802728787</v>
      </c>
      <c r="CP167" s="88">
        <v>-15000000</v>
      </c>
      <c r="CQ167" s="88"/>
      <c r="CR167" s="44"/>
      <c r="CS167" s="95"/>
      <c r="CT167" s="95"/>
      <c r="CU167" s="95"/>
      <c r="CV167" s="95"/>
      <c r="CW167" s="95"/>
      <c r="CX167" s="95"/>
      <c r="CY167" s="95"/>
      <c r="CZ167" s="95"/>
      <c r="DA167" s="95"/>
      <c r="DB167" s="95"/>
      <c r="DC167" s="95"/>
      <c r="DD167" s="95"/>
      <c r="DE167" s="95"/>
      <c r="DF167" s="95"/>
      <c r="DG167" s="95"/>
      <c r="DH167" s="95"/>
      <c r="DI167" s="95"/>
      <c r="DJ167" s="95"/>
      <c r="DK167" s="95"/>
    </row>
    <row r="168" spans="1:115" ht="14.25" customHeight="1" x14ac:dyDescent="0.4">
      <c r="A168" s="94"/>
      <c r="B168" s="24"/>
      <c r="C168" s="88"/>
      <c r="D168" s="49"/>
      <c r="E168" s="49"/>
      <c r="F168" s="49"/>
      <c r="G168" s="49"/>
      <c r="H168" s="49"/>
      <c r="I168" s="49"/>
      <c r="J168" s="49"/>
      <c r="K168" s="49"/>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c r="AM168" s="49"/>
      <c r="AN168" s="49"/>
      <c r="AO168" s="49"/>
      <c r="AP168" s="49"/>
      <c r="AQ168" s="49"/>
      <c r="AR168" s="49"/>
      <c r="AS168" s="49"/>
      <c r="AT168" s="49"/>
      <c r="AU168" s="49"/>
      <c r="AV168" s="49"/>
      <c r="AW168" s="39"/>
      <c r="AX168" s="39"/>
      <c r="AY168" s="49"/>
      <c r="AZ168" s="49"/>
      <c r="BA168" s="49"/>
      <c r="BB168" s="49"/>
      <c r="BC168" s="49"/>
      <c r="BD168" s="49"/>
      <c r="BE168" s="49"/>
      <c r="BF168" s="49"/>
      <c r="BG168" s="49"/>
      <c r="BH168" s="49"/>
      <c r="BI168" s="49"/>
      <c r="BJ168" s="49"/>
      <c r="BK168" s="49"/>
      <c r="BL168" s="49"/>
      <c r="BM168" s="49"/>
      <c r="BN168" s="49"/>
      <c r="BO168" s="49"/>
      <c r="BP168" s="49"/>
      <c r="BQ168" s="49"/>
      <c r="BR168" s="49"/>
      <c r="BS168" s="49"/>
      <c r="BT168" s="49"/>
      <c r="BU168" s="49"/>
      <c r="BV168" s="49"/>
      <c r="BW168" s="49"/>
      <c r="BX168" s="49"/>
      <c r="BY168" s="49"/>
      <c r="BZ168" s="49"/>
      <c r="CA168" s="49"/>
      <c r="CB168" s="49"/>
      <c r="CC168" s="49"/>
      <c r="CD168" s="49"/>
      <c r="CE168" s="49"/>
      <c r="CF168" s="49"/>
      <c r="CG168" s="49"/>
      <c r="CH168" s="49"/>
      <c r="CI168" s="49"/>
      <c r="CJ168" s="49"/>
      <c r="CK168" s="49"/>
      <c r="CL168" s="49"/>
      <c r="CM168" s="49"/>
      <c r="CN168" s="49"/>
      <c r="CO168" s="49"/>
      <c r="CP168" s="39"/>
      <c r="CQ168" s="49"/>
      <c r="CR168" s="49"/>
      <c r="CS168" s="49"/>
      <c r="CT168" s="49"/>
      <c r="CU168" s="49"/>
      <c r="CV168" s="49"/>
      <c r="CW168" s="49"/>
      <c r="CX168" s="49"/>
      <c r="CY168" s="49"/>
      <c r="CZ168" s="49"/>
      <c r="DA168" s="49"/>
      <c r="DB168" s="49"/>
      <c r="DC168" s="49"/>
    </row>
    <row r="169" spans="1:115" ht="14.25" customHeight="1" thickBot="1" x14ac:dyDescent="0.45">
      <c r="A169" s="94"/>
      <c r="B169" s="82"/>
      <c r="C169" s="83"/>
      <c r="D169" s="83" t="s">
        <v>172</v>
      </c>
      <c r="E169" s="83">
        <v>1</v>
      </c>
      <c r="F169" s="83">
        <v>2</v>
      </c>
      <c r="G169" s="83">
        <v>3</v>
      </c>
      <c r="H169" s="83">
        <v>4</v>
      </c>
      <c r="I169" s="83">
        <v>5</v>
      </c>
      <c r="J169" s="83">
        <v>6</v>
      </c>
      <c r="K169" s="83">
        <v>7</v>
      </c>
      <c r="L169" s="83">
        <v>8</v>
      </c>
      <c r="M169" s="83">
        <v>9</v>
      </c>
      <c r="N169" s="83">
        <v>10</v>
      </c>
      <c r="O169" s="83">
        <v>11</v>
      </c>
      <c r="P169" s="83">
        <v>12</v>
      </c>
      <c r="Q169" s="83" t="s">
        <v>61</v>
      </c>
      <c r="R169" s="83">
        <v>13</v>
      </c>
      <c r="S169" s="83">
        <v>14</v>
      </c>
      <c r="T169" s="83">
        <v>15</v>
      </c>
      <c r="U169" s="83">
        <v>16</v>
      </c>
      <c r="V169" s="84">
        <v>17</v>
      </c>
      <c r="W169" s="83">
        <v>18</v>
      </c>
      <c r="X169" s="83">
        <v>19</v>
      </c>
      <c r="Y169" s="83">
        <v>20</v>
      </c>
      <c r="Z169" s="83">
        <v>21</v>
      </c>
      <c r="AA169" s="83">
        <v>22</v>
      </c>
      <c r="AB169" s="83">
        <v>23</v>
      </c>
      <c r="AC169" s="83">
        <v>24</v>
      </c>
      <c r="AD169" s="83" t="s">
        <v>62</v>
      </c>
      <c r="AE169" s="83">
        <v>25</v>
      </c>
      <c r="AF169" s="83">
        <v>26</v>
      </c>
      <c r="AG169" s="83">
        <v>27</v>
      </c>
      <c r="AH169" s="83">
        <v>28</v>
      </c>
      <c r="AI169" s="83">
        <v>29</v>
      </c>
      <c r="AJ169" s="83">
        <v>30</v>
      </c>
      <c r="AK169" s="83">
        <v>31</v>
      </c>
      <c r="AL169" s="83">
        <v>32</v>
      </c>
      <c r="AM169" s="83">
        <v>33</v>
      </c>
      <c r="AN169" s="83">
        <v>34</v>
      </c>
      <c r="AO169" s="83">
        <v>35</v>
      </c>
      <c r="AP169" s="83">
        <v>36</v>
      </c>
      <c r="AQ169" s="83" t="s">
        <v>63</v>
      </c>
      <c r="AR169" s="83">
        <v>37</v>
      </c>
      <c r="AS169" s="83">
        <v>38</v>
      </c>
      <c r="AT169" s="83">
        <v>39</v>
      </c>
      <c r="AU169" s="83">
        <v>40</v>
      </c>
      <c r="AV169" s="83">
        <v>41</v>
      </c>
      <c r="AW169" s="83">
        <v>42</v>
      </c>
      <c r="AX169" s="83">
        <v>43</v>
      </c>
      <c r="AY169" s="83">
        <v>44</v>
      </c>
      <c r="AZ169" s="83">
        <v>45</v>
      </c>
      <c r="BA169" s="83">
        <v>46</v>
      </c>
      <c r="BB169" s="83">
        <v>47</v>
      </c>
      <c r="BC169" s="83">
        <v>48</v>
      </c>
      <c r="BD169" s="83" t="s">
        <v>64</v>
      </c>
      <c r="BE169" s="83">
        <v>49</v>
      </c>
      <c r="BF169" s="83">
        <v>50</v>
      </c>
      <c r="BG169" s="83">
        <v>51</v>
      </c>
      <c r="BH169" s="83">
        <v>52</v>
      </c>
      <c r="BI169" s="83">
        <v>53</v>
      </c>
      <c r="BJ169" s="83">
        <v>54</v>
      </c>
      <c r="BK169" s="83">
        <v>55</v>
      </c>
      <c r="BL169" s="83">
        <v>56</v>
      </c>
      <c r="BM169" s="83">
        <v>57</v>
      </c>
      <c r="BN169" s="83">
        <v>58</v>
      </c>
      <c r="BO169" s="83">
        <v>59</v>
      </c>
      <c r="BP169" s="83">
        <v>60</v>
      </c>
      <c r="BQ169" s="83" t="s">
        <v>65</v>
      </c>
      <c r="BR169" s="83">
        <v>61</v>
      </c>
      <c r="BS169" s="83">
        <v>62</v>
      </c>
      <c r="BT169" s="83">
        <v>63</v>
      </c>
      <c r="BU169" s="83">
        <v>64</v>
      </c>
      <c r="BV169" s="83">
        <v>65</v>
      </c>
      <c r="BW169" s="83">
        <v>66</v>
      </c>
      <c r="BX169" s="83">
        <v>67</v>
      </c>
      <c r="BY169" s="83">
        <v>68</v>
      </c>
      <c r="BZ169" s="83">
        <v>69</v>
      </c>
      <c r="CA169" s="83">
        <v>70</v>
      </c>
      <c r="CB169" s="83">
        <v>71</v>
      </c>
      <c r="CC169" s="83">
        <v>72</v>
      </c>
      <c r="CD169" s="83" t="s">
        <v>66</v>
      </c>
      <c r="CE169" s="83">
        <v>73</v>
      </c>
      <c r="CF169" s="83">
        <v>74</v>
      </c>
      <c r="CG169" s="83">
        <v>75</v>
      </c>
      <c r="CH169" s="83">
        <v>76</v>
      </c>
      <c r="CI169" s="83">
        <v>77</v>
      </c>
      <c r="CJ169" s="83">
        <v>78</v>
      </c>
      <c r="CK169" s="83">
        <v>79</v>
      </c>
      <c r="CL169" s="83">
        <v>80</v>
      </c>
      <c r="CM169" s="83">
        <v>81</v>
      </c>
      <c r="CN169" s="83">
        <v>82</v>
      </c>
      <c r="CO169" s="83">
        <v>83</v>
      </c>
      <c r="CP169" s="168">
        <v>84</v>
      </c>
      <c r="CQ169" s="85" t="s">
        <v>67</v>
      </c>
      <c r="CR169" s="83"/>
      <c r="CS169" s="83"/>
      <c r="CT169" s="83"/>
      <c r="CU169" s="83"/>
      <c r="CV169" s="83"/>
      <c r="CW169" s="83"/>
      <c r="CX169" s="83"/>
      <c r="CY169" s="83"/>
      <c r="CZ169" s="83"/>
      <c r="DA169" s="83"/>
      <c r="DB169" s="83"/>
      <c r="DC169" s="83"/>
      <c r="DD169" s="83"/>
      <c r="DE169" s="84"/>
      <c r="DF169" s="84"/>
      <c r="DG169" s="84"/>
      <c r="DH169" s="84"/>
      <c r="DI169" s="84"/>
      <c r="DJ169" s="84"/>
      <c r="DK169" s="84"/>
    </row>
    <row r="170" spans="1:115" ht="14.25" customHeight="1" x14ac:dyDescent="0.4">
      <c r="A170" s="94"/>
      <c r="B170" s="91" t="s">
        <v>173</v>
      </c>
      <c r="C170" s="619">
        <f>SUM(E170:CQ170)-Q170-AD170-AQ170-BD170-BQ170-CD170-CQ170</f>
        <v>7110120152.6295538</v>
      </c>
      <c r="D170" s="90"/>
      <c r="E170" s="90"/>
      <c r="F170" s="90"/>
      <c r="G170" s="90"/>
      <c r="H170" s="90"/>
      <c r="I170" s="90"/>
      <c r="J170" s="90"/>
      <c r="K170" s="90"/>
      <c r="L170" s="90"/>
      <c r="M170" s="90"/>
      <c r="N170" s="90"/>
      <c r="O170" s="90"/>
      <c r="P170" s="90"/>
      <c r="Q170" s="71"/>
      <c r="R170" s="90"/>
      <c r="S170" s="90"/>
      <c r="T170" s="90"/>
      <c r="U170" s="90"/>
      <c r="V170" s="90"/>
      <c r="W170" s="90"/>
      <c r="X170" s="90"/>
      <c r="Y170" s="90"/>
      <c r="Z170" s="90"/>
      <c r="AA170" s="90"/>
      <c r="AB170" s="90"/>
      <c r="AC170" s="90"/>
      <c r="AD170" s="71"/>
      <c r="AE170" s="103">
        <f>AE166+AE167</f>
        <v>37138502.244636446</v>
      </c>
      <c r="AF170" s="103">
        <f t="shared" ref="AF170:AP170" si="437">AF166+AF167</f>
        <v>80108706.625777423</v>
      </c>
      <c r="AG170" s="103">
        <f t="shared" si="437"/>
        <v>75412749.731053963</v>
      </c>
      <c r="AH170" s="103">
        <f t="shared" ref="AH170" si="438">AH166+AH167</f>
        <v>64403789.253036261</v>
      </c>
      <c r="AI170" s="103">
        <f t="shared" si="437"/>
        <v>102123317.64831282</v>
      </c>
      <c r="AJ170" s="103">
        <f t="shared" si="437"/>
        <v>111614976.29358938</v>
      </c>
      <c r="AK170" s="103">
        <f t="shared" si="437"/>
        <v>117642554.86886591</v>
      </c>
      <c r="AL170" s="103">
        <f t="shared" si="437"/>
        <v>121238891.5274758</v>
      </c>
      <c r="AM170" s="103">
        <f t="shared" si="437"/>
        <v>123047012.0274758</v>
      </c>
      <c r="AN170" s="103">
        <f t="shared" si="437"/>
        <v>123028512.0274758</v>
      </c>
      <c r="AO170" s="103">
        <f t="shared" si="437"/>
        <v>123048512.0274758</v>
      </c>
      <c r="AP170" s="103">
        <f t="shared" si="437"/>
        <v>123047012.0274758</v>
      </c>
      <c r="AQ170" s="118">
        <f t="shared" ref="AQ170:AQ177" si="439">SUM(AE170:AP170)</f>
        <v>1201854536.3026514</v>
      </c>
      <c r="AR170" s="103">
        <f>AR166+AR167</f>
        <v>82042310.104834795</v>
      </c>
      <c r="AS170" s="103">
        <f>AS166+AS167</f>
        <v>123030732.57821715</v>
      </c>
      <c r="AT170" s="103">
        <f>AT166+AT167</f>
        <v>123029232.57821715</v>
      </c>
      <c r="AU170" s="103">
        <f t="shared" ref="AU170:BC170" si="440">AU166+AU167</f>
        <v>123015732.57821715</v>
      </c>
      <c r="AV170" s="103">
        <f t="shared" si="440"/>
        <v>123030732.57821715</v>
      </c>
      <c r="AW170" s="103">
        <f t="shared" si="440"/>
        <v>123029232.57821715</v>
      </c>
      <c r="AX170" s="103">
        <f t="shared" si="440"/>
        <v>123015732.57821715</v>
      </c>
      <c r="AY170" s="103">
        <f t="shared" si="440"/>
        <v>123030732.57821715</v>
      </c>
      <c r="AZ170" s="103">
        <f t="shared" si="440"/>
        <v>123029232.57821715</v>
      </c>
      <c r="BA170" s="103">
        <f t="shared" si="440"/>
        <v>123010732.57821715</v>
      </c>
      <c r="BB170" s="103">
        <f t="shared" si="440"/>
        <v>123030732.57821715</v>
      </c>
      <c r="BC170" s="103">
        <f t="shared" si="440"/>
        <v>123029232.57821715</v>
      </c>
      <c r="BD170" s="118">
        <f t="shared" ref="BD170:BD177" si="441">SUM(AR170:BC170)</f>
        <v>1435324368.4652233</v>
      </c>
      <c r="BE170" s="103">
        <f>BE166+BE167</f>
        <v>100948195.51133607</v>
      </c>
      <c r="BF170" s="103">
        <f>BF166+BF167</f>
        <v>123015421.95098813</v>
      </c>
      <c r="BG170" s="103">
        <f>BG166+BG167</f>
        <v>123013164.83098812</v>
      </c>
      <c r="BH170" s="103">
        <f t="shared" ref="BH170:BP170" si="442">BH166+BH167</f>
        <v>122999664.83098812</v>
      </c>
      <c r="BI170" s="103">
        <f t="shared" si="442"/>
        <v>123013877.42618813</v>
      </c>
      <c r="BJ170" s="103">
        <f t="shared" si="442"/>
        <v>123012377.42618813</v>
      </c>
      <c r="BK170" s="103">
        <f t="shared" si="442"/>
        <v>122998058.52519612</v>
      </c>
      <c r="BL170" s="103">
        <f t="shared" si="442"/>
        <v>123013058.52519612</v>
      </c>
      <c r="BM170" s="103">
        <f t="shared" si="442"/>
        <v>123010706.86816446</v>
      </c>
      <c r="BN170" s="103">
        <f t="shared" si="442"/>
        <v>122992206.86816444</v>
      </c>
      <c r="BO170" s="103">
        <f t="shared" si="442"/>
        <v>123011321.14485149</v>
      </c>
      <c r="BP170" s="103">
        <f t="shared" si="442"/>
        <v>123009821.14485149</v>
      </c>
      <c r="BQ170" s="118">
        <f t="shared" ref="BQ170:BQ177" si="443">SUM(BE170:BP170)</f>
        <v>1454037875.0531008</v>
      </c>
      <c r="BR170" s="103">
        <f>BR166+BR167</f>
        <v>121666470.29568599</v>
      </c>
      <c r="BS170" s="103">
        <f t="shared" ref="BS170:CE170" si="444">BS166+BS167</f>
        <v>122995727.85069232</v>
      </c>
      <c r="BT170" s="103">
        <f t="shared" si="444"/>
        <v>122994227.85069232</v>
      </c>
      <c r="BU170" s="103">
        <f t="shared" si="444"/>
        <v>122980727.85069232</v>
      </c>
      <c r="BV170" s="103">
        <f t="shared" si="444"/>
        <v>122995727.85069232</v>
      </c>
      <c r="BW170" s="103">
        <f t="shared" si="444"/>
        <v>122994227.85069232</v>
      </c>
      <c r="BX170" s="103">
        <f t="shared" si="444"/>
        <v>122980727.85069232</v>
      </c>
      <c r="BY170" s="103">
        <f t="shared" si="444"/>
        <v>122995727.85069232</v>
      </c>
      <c r="BZ170" s="103">
        <f t="shared" si="444"/>
        <v>122994227.85069232</v>
      </c>
      <c r="CA170" s="103">
        <f t="shared" si="444"/>
        <v>122975727.85069232</v>
      </c>
      <c r="CB170" s="103">
        <f t="shared" si="444"/>
        <v>122995727.85069232</v>
      </c>
      <c r="CC170" s="103">
        <f t="shared" si="444"/>
        <v>122994227.85069232</v>
      </c>
      <c r="CD170" s="118">
        <f t="shared" ref="CD170:CD177" si="445">SUM(BR170:CC170)</f>
        <v>1474563476.6533012</v>
      </c>
      <c r="CE170" s="103">
        <f t="shared" si="444"/>
        <v>142406635.7510767</v>
      </c>
      <c r="CF170" s="103">
        <f t="shared" ref="CF170:CP170" si="446">CF166+CF167</f>
        <v>127675044.13265885</v>
      </c>
      <c r="CG170" s="103">
        <f t="shared" si="446"/>
        <v>127708752.6358961</v>
      </c>
      <c r="CH170" s="103">
        <f t="shared" si="446"/>
        <v>127730725.20290761</v>
      </c>
      <c r="CI170" s="103">
        <f t="shared" si="446"/>
        <v>127781463.81417167</v>
      </c>
      <c r="CJ170" s="103">
        <f t="shared" si="446"/>
        <v>127815970.46502025</v>
      </c>
      <c r="CK170" s="103">
        <f t="shared" si="446"/>
        <v>127838747.16575021</v>
      </c>
      <c r="CL170" s="103">
        <f t="shared" si="446"/>
        <v>127890295.9417356</v>
      </c>
      <c r="CM170" s="103">
        <f t="shared" si="446"/>
        <v>127925618.83354092</v>
      </c>
      <c r="CN170" s="103">
        <f t="shared" si="446"/>
        <v>127944217.89703473</v>
      </c>
      <c r="CO170" s="103">
        <f t="shared" si="446"/>
        <v>128001595.20350482</v>
      </c>
      <c r="CP170" s="72">
        <f t="shared" si="446"/>
        <v>123620829.11197898</v>
      </c>
      <c r="CQ170" s="118">
        <f t="shared" ref="CQ170:CQ177" si="447">SUM(CE170:CP170)</f>
        <v>1544339896.1552765</v>
      </c>
      <c r="CR170" s="90"/>
      <c r="CS170" s="90"/>
      <c r="CT170" s="90"/>
      <c r="CU170" s="90"/>
      <c r="CV170" s="90"/>
      <c r="CW170" s="90"/>
      <c r="CX170" s="90"/>
      <c r="CY170" s="90"/>
      <c r="CZ170" s="90"/>
      <c r="DA170" s="90"/>
      <c r="DB170" s="90"/>
      <c r="DC170" s="90"/>
      <c r="DD170" s="90"/>
      <c r="DE170" s="90"/>
      <c r="DF170" s="90"/>
      <c r="DG170" s="90"/>
      <c r="DH170" s="90"/>
      <c r="DI170" s="90"/>
      <c r="DJ170" s="90"/>
      <c r="DK170" s="90"/>
    </row>
    <row r="171" spans="1:115" ht="14.25" customHeight="1" x14ac:dyDescent="0.4">
      <c r="A171" s="94"/>
      <c r="B171" s="24" t="s">
        <v>174</v>
      </c>
      <c r="C171" s="88">
        <f t="shared" ref="C171:C175" si="448">SUM(E171:CQ171)-Q171-AD171-AQ171-BD171-BQ171-CD171-CQ171</f>
        <v>3697262479.3673658</v>
      </c>
      <c r="D171" s="49"/>
      <c r="E171" s="49"/>
      <c r="F171" s="49"/>
      <c r="G171" s="49"/>
      <c r="H171" s="49"/>
      <c r="I171" s="49"/>
      <c r="J171" s="49"/>
      <c r="K171" s="49"/>
      <c r="L171" s="49"/>
      <c r="M171" s="49"/>
      <c r="N171" s="49"/>
      <c r="O171" s="49"/>
      <c r="P171" s="49"/>
      <c r="Q171" s="49"/>
      <c r="R171" s="49"/>
      <c r="S171" s="49"/>
      <c r="T171" s="49"/>
      <c r="U171" s="49"/>
      <c r="V171" s="49"/>
      <c r="W171" s="49"/>
      <c r="X171" s="49"/>
      <c r="Y171" s="49"/>
      <c r="Z171" s="49"/>
      <c r="AA171" s="49"/>
      <c r="AB171" s="49"/>
      <c r="AC171" s="49"/>
      <c r="AD171" s="49"/>
      <c r="AE171" s="49">
        <f>AE170*0.52</f>
        <v>19312021.167210951</v>
      </c>
      <c r="AF171" s="49">
        <f t="shared" ref="AF171:AO171" si="449">AF170*0.52</f>
        <v>41656527.445404261</v>
      </c>
      <c r="AG171" s="49">
        <f t="shared" si="449"/>
        <v>39214629.860148065</v>
      </c>
      <c r="AH171" s="49">
        <f t="shared" ref="AH171" si="450">AH170*0.52</f>
        <v>33489970.411578856</v>
      </c>
      <c r="AI171" s="49">
        <f t="shared" si="449"/>
        <v>53104125.177122667</v>
      </c>
      <c r="AJ171" s="49">
        <f t="shared" si="449"/>
        <v>58039787.672666483</v>
      </c>
      <c r="AK171" s="49">
        <f t="shared" si="449"/>
        <v>61174128.531810276</v>
      </c>
      <c r="AL171" s="49">
        <f t="shared" si="449"/>
        <v>63044223.594287418</v>
      </c>
      <c r="AM171" s="49">
        <f t="shared" si="449"/>
        <v>63984446.254287422</v>
      </c>
      <c r="AN171" s="49">
        <f t="shared" si="449"/>
        <v>63974826.254287422</v>
      </c>
      <c r="AO171" s="49">
        <f t="shared" si="449"/>
        <v>63985226.254287422</v>
      </c>
      <c r="AP171" s="49">
        <f>AP170*0.52</f>
        <v>63984446.254287422</v>
      </c>
      <c r="AQ171" s="118">
        <f t="shared" si="439"/>
        <v>624964358.8773787</v>
      </c>
      <c r="AR171" s="49">
        <f t="shared" ref="AR171:BC171" si="451">AR170*0.52</f>
        <v>42662001.254514098</v>
      </c>
      <c r="AS171" s="49">
        <f t="shared" si="451"/>
        <v>63975980.940672919</v>
      </c>
      <c r="AT171" s="49">
        <f t="shared" si="451"/>
        <v>63975200.940672919</v>
      </c>
      <c r="AU171" s="49">
        <f t="shared" si="451"/>
        <v>63968180.940672919</v>
      </c>
      <c r="AV171" s="49">
        <f t="shared" si="451"/>
        <v>63975980.940672919</v>
      </c>
      <c r="AW171" s="49">
        <f t="shared" si="451"/>
        <v>63975200.940672919</v>
      </c>
      <c r="AX171" s="49">
        <f t="shared" si="451"/>
        <v>63968180.940672919</v>
      </c>
      <c r="AY171" s="49">
        <f t="shared" si="451"/>
        <v>63975980.940672919</v>
      </c>
      <c r="AZ171" s="49">
        <f t="shared" si="451"/>
        <v>63975200.940672919</v>
      </c>
      <c r="BA171" s="49">
        <f t="shared" si="451"/>
        <v>63965580.940672919</v>
      </c>
      <c r="BB171" s="49">
        <f t="shared" si="451"/>
        <v>63975980.940672919</v>
      </c>
      <c r="BC171" s="49">
        <f t="shared" si="451"/>
        <v>63975200.940672919</v>
      </c>
      <c r="BD171" s="118">
        <f t="shared" si="441"/>
        <v>746368671.60191607</v>
      </c>
      <c r="BE171" s="49">
        <f t="shared" ref="BE171:BP171" si="452">BE170*0.52</f>
        <v>52493061.665894762</v>
      </c>
      <c r="BF171" s="49">
        <f t="shared" si="452"/>
        <v>63968019.414513826</v>
      </c>
      <c r="BG171" s="49">
        <f t="shared" si="452"/>
        <v>63966845.712113827</v>
      </c>
      <c r="BH171" s="49">
        <f t="shared" si="452"/>
        <v>63959825.712113827</v>
      </c>
      <c r="BI171" s="49">
        <f t="shared" si="452"/>
        <v>63967216.261617824</v>
      </c>
      <c r="BJ171" s="49">
        <f t="shared" si="452"/>
        <v>63966436.261617824</v>
      </c>
      <c r="BK171" s="49">
        <f t="shared" si="452"/>
        <v>63958990.433101982</v>
      </c>
      <c r="BL171" s="49">
        <f t="shared" si="452"/>
        <v>63966790.433101982</v>
      </c>
      <c r="BM171" s="49">
        <f t="shared" si="452"/>
        <v>63965567.571445525</v>
      </c>
      <c r="BN171" s="49">
        <f t="shared" si="452"/>
        <v>63955947.57144551</v>
      </c>
      <c r="BO171" s="49">
        <f t="shared" si="452"/>
        <v>63965886.995322779</v>
      </c>
      <c r="BP171" s="49">
        <f t="shared" si="452"/>
        <v>63965106.995322779</v>
      </c>
      <c r="BQ171" s="118">
        <f t="shared" si="443"/>
        <v>756099695.02761245</v>
      </c>
      <c r="BR171" s="49">
        <f t="shared" ref="BR171:CC171" si="453">BR170*0.52</f>
        <v>63266564.553756721</v>
      </c>
      <c r="BS171" s="49">
        <f t="shared" si="453"/>
        <v>63957778.482360005</v>
      </c>
      <c r="BT171" s="49">
        <f t="shared" si="453"/>
        <v>63956998.482360005</v>
      </c>
      <c r="BU171" s="49">
        <f t="shared" si="453"/>
        <v>63949978.482360005</v>
      </c>
      <c r="BV171" s="49">
        <f t="shared" si="453"/>
        <v>63957778.482360005</v>
      </c>
      <c r="BW171" s="49">
        <f t="shared" si="453"/>
        <v>63956998.482360005</v>
      </c>
      <c r="BX171" s="49">
        <f t="shared" si="453"/>
        <v>63949978.482360005</v>
      </c>
      <c r="BY171" s="49">
        <f t="shared" si="453"/>
        <v>63957778.482360005</v>
      </c>
      <c r="BZ171" s="49">
        <f t="shared" si="453"/>
        <v>63956998.482360005</v>
      </c>
      <c r="CA171" s="49">
        <f t="shared" si="453"/>
        <v>63947378.482360005</v>
      </c>
      <c r="CB171" s="49">
        <f t="shared" si="453"/>
        <v>63957778.482360005</v>
      </c>
      <c r="CC171" s="49">
        <f t="shared" si="453"/>
        <v>63956998.482360005</v>
      </c>
      <c r="CD171" s="118">
        <f t="shared" si="445"/>
        <v>766773007.85971677</v>
      </c>
      <c r="CE171" s="49">
        <f t="shared" ref="CE171" si="454">CE170*0.52</f>
        <v>74051450.590559885</v>
      </c>
      <c r="CF171" s="49">
        <f t="shared" ref="CF171:CP171" si="455">CF170*0.52</f>
        <v>66391022.948982604</v>
      </c>
      <c r="CG171" s="49">
        <f t="shared" si="455"/>
        <v>66408551.370665975</v>
      </c>
      <c r="CH171" s="49">
        <f t="shared" si="455"/>
        <v>66419977.105511956</v>
      </c>
      <c r="CI171" s="49">
        <f t="shared" si="455"/>
        <v>66446361.183369271</v>
      </c>
      <c r="CJ171" s="49">
        <f t="shared" si="455"/>
        <v>66464304.641810536</v>
      </c>
      <c r="CK171" s="49">
        <f t="shared" si="455"/>
        <v>66476148.52619011</v>
      </c>
      <c r="CL171" s="49">
        <f t="shared" si="455"/>
        <v>66502953.889702514</v>
      </c>
      <c r="CM171" s="49">
        <f t="shared" si="455"/>
        <v>66521321.793441281</v>
      </c>
      <c r="CN171" s="49">
        <f t="shared" si="455"/>
        <v>66530993.306458063</v>
      </c>
      <c r="CO171" s="49">
        <f t="shared" si="455"/>
        <v>66560829.50582251</v>
      </c>
      <c r="CP171" s="39">
        <f t="shared" si="455"/>
        <v>64282831.138229072</v>
      </c>
      <c r="CQ171" s="118">
        <f t="shared" si="447"/>
        <v>803056746.00074387</v>
      </c>
      <c r="CR171" s="49"/>
      <c r="CS171" s="49"/>
      <c r="CT171" s="49"/>
      <c r="CU171" s="49"/>
      <c r="CV171" s="49"/>
      <c r="CW171" s="49"/>
      <c r="CX171" s="49"/>
      <c r="CY171" s="49"/>
      <c r="CZ171" s="49"/>
      <c r="DA171" s="49"/>
      <c r="DB171" s="49"/>
      <c r="DC171" s="49"/>
    </row>
    <row r="172" spans="1:115" s="622" customFormat="1" ht="14.25" customHeight="1" x14ac:dyDescent="0.4">
      <c r="A172" s="94"/>
      <c r="B172" s="566" t="s">
        <v>622</v>
      </c>
      <c r="C172" s="620">
        <f t="shared" si="448"/>
        <v>823710326.1907227</v>
      </c>
      <c r="D172" s="566"/>
      <c r="E172" s="621">
        <f>IF(E170=0,0,MIN(E170*38.4%,MAX(0,E182)))</f>
        <v>0</v>
      </c>
      <c r="F172" s="621">
        <f t="shared" ref="F172:AD172" si="456">IF(F170=0,0,MIN(F170*38.4%,MAX(0,F182)))</f>
        <v>0</v>
      </c>
      <c r="G172" s="621">
        <f t="shared" si="456"/>
        <v>0</v>
      </c>
      <c r="H172" s="621">
        <f t="shared" si="456"/>
        <v>0</v>
      </c>
      <c r="I172" s="621">
        <f t="shared" si="456"/>
        <v>0</v>
      </c>
      <c r="J172" s="621">
        <f t="shared" si="456"/>
        <v>0</v>
      </c>
      <c r="K172" s="621">
        <f t="shared" si="456"/>
        <v>0</v>
      </c>
      <c r="L172" s="621">
        <f t="shared" si="456"/>
        <v>0</v>
      </c>
      <c r="M172" s="621">
        <f t="shared" si="456"/>
        <v>0</v>
      </c>
      <c r="N172" s="621">
        <f t="shared" si="456"/>
        <v>0</v>
      </c>
      <c r="O172" s="621">
        <f t="shared" si="456"/>
        <v>0</v>
      </c>
      <c r="P172" s="621">
        <f t="shared" si="456"/>
        <v>0</v>
      </c>
      <c r="Q172" s="621">
        <f t="shared" si="456"/>
        <v>0</v>
      </c>
      <c r="R172" s="621">
        <f t="shared" si="456"/>
        <v>0</v>
      </c>
      <c r="S172" s="621">
        <f t="shared" si="456"/>
        <v>0</v>
      </c>
      <c r="T172" s="621">
        <f t="shared" si="456"/>
        <v>0</v>
      </c>
      <c r="U172" s="621">
        <f t="shared" si="456"/>
        <v>0</v>
      </c>
      <c r="V172" s="621">
        <f t="shared" si="456"/>
        <v>0</v>
      </c>
      <c r="W172" s="621">
        <f t="shared" si="456"/>
        <v>0</v>
      </c>
      <c r="X172" s="621">
        <f t="shared" si="456"/>
        <v>0</v>
      </c>
      <c r="Y172" s="621">
        <f t="shared" si="456"/>
        <v>0</v>
      </c>
      <c r="Z172" s="621">
        <f t="shared" si="456"/>
        <v>0</v>
      </c>
      <c r="AA172" s="621">
        <f t="shared" si="456"/>
        <v>0</v>
      </c>
      <c r="AB172" s="621">
        <f t="shared" si="456"/>
        <v>0</v>
      </c>
      <c r="AC172" s="621">
        <f t="shared" si="456"/>
        <v>0</v>
      </c>
      <c r="AD172" s="621">
        <f t="shared" si="456"/>
        <v>0</v>
      </c>
      <c r="AE172" s="621">
        <f>IF(AD187&lt;=0,0,AE170*38.4%)</f>
        <v>14261184.861940395</v>
      </c>
      <c r="AF172" s="621">
        <f t="shared" ref="AF172:BC172" si="457">IF(AE187&lt;=0,0,AF170*38.4%)</f>
        <v>30761743.34429853</v>
      </c>
      <c r="AG172" s="621">
        <f t="shared" si="457"/>
        <v>28958495.896724723</v>
      </c>
      <c r="AH172" s="621">
        <f t="shared" si="457"/>
        <v>24731055.073165923</v>
      </c>
      <c r="AI172" s="621">
        <f t="shared" si="457"/>
        <v>39215353.976952128</v>
      </c>
      <c r="AJ172" s="621">
        <f t="shared" si="457"/>
        <v>42860150.896738321</v>
      </c>
      <c r="AK172" s="621">
        <f t="shared" si="457"/>
        <v>45174741.069644511</v>
      </c>
      <c r="AL172" s="621">
        <f t="shared" si="457"/>
        <v>46555734.34655071</v>
      </c>
      <c r="AM172" s="621">
        <f t="shared" si="457"/>
        <v>47250052.61855071</v>
      </c>
      <c r="AN172" s="621">
        <f t="shared" si="457"/>
        <v>47242948.61855071</v>
      </c>
      <c r="AO172" s="621">
        <f t="shared" si="457"/>
        <v>47250628.61855071</v>
      </c>
      <c r="AP172" s="621">
        <f t="shared" si="457"/>
        <v>47250052.61855071</v>
      </c>
      <c r="AQ172" s="118">
        <f t="shared" si="439"/>
        <v>461512141.94021815</v>
      </c>
      <c r="AR172" s="621">
        <f t="shared" si="457"/>
        <v>31504247.080256563</v>
      </c>
      <c r="AS172" s="621">
        <f t="shared" si="457"/>
        <v>47243801.310035385</v>
      </c>
      <c r="AT172" s="621">
        <f t="shared" si="457"/>
        <v>47243225.310035385</v>
      </c>
      <c r="AU172" s="621">
        <f t="shared" si="457"/>
        <v>47238041.310035385</v>
      </c>
      <c r="AV172" s="621">
        <f t="shared" si="457"/>
        <v>47243801.310035385</v>
      </c>
      <c r="AW172" s="621">
        <f t="shared" si="457"/>
        <v>47243225.310035385</v>
      </c>
      <c r="AX172" s="621">
        <f t="shared" si="457"/>
        <v>47238041.310035385</v>
      </c>
      <c r="AY172" s="621">
        <f t="shared" si="457"/>
        <v>47243801.310035385</v>
      </c>
      <c r="AZ172" s="621">
        <f t="shared" si="457"/>
        <v>0</v>
      </c>
      <c r="BA172" s="621">
        <f t="shared" si="457"/>
        <v>0</v>
      </c>
      <c r="BB172" s="621">
        <f t="shared" si="457"/>
        <v>0</v>
      </c>
      <c r="BC172" s="621">
        <f t="shared" si="457"/>
        <v>0</v>
      </c>
      <c r="BD172" s="118">
        <f t="shared" si="441"/>
        <v>362198184.25050426</v>
      </c>
      <c r="BE172" s="621">
        <f t="shared" ref="BE172:CP172" si="458">MIN(BE170*38.4%,MAX(0,BD182))</f>
        <v>0</v>
      </c>
      <c r="BF172" s="621">
        <f t="shared" si="458"/>
        <v>0</v>
      </c>
      <c r="BG172" s="621">
        <f t="shared" si="458"/>
        <v>0</v>
      </c>
      <c r="BH172" s="621">
        <f t="shared" si="458"/>
        <v>0</v>
      </c>
      <c r="BI172" s="621">
        <f t="shared" si="458"/>
        <v>0</v>
      </c>
      <c r="BJ172" s="621">
        <f t="shared" si="458"/>
        <v>0</v>
      </c>
      <c r="BK172" s="621">
        <f t="shared" si="458"/>
        <v>0</v>
      </c>
      <c r="BL172" s="621">
        <f t="shared" si="458"/>
        <v>0</v>
      </c>
      <c r="BM172" s="621">
        <f t="shared" si="458"/>
        <v>0</v>
      </c>
      <c r="BN172" s="621">
        <f t="shared" si="458"/>
        <v>0</v>
      </c>
      <c r="BO172" s="621">
        <f t="shared" si="458"/>
        <v>0</v>
      </c>
      <c r="BP172" s="621">
        <f t="shared" si="458"/>
        <v>0</v>
      </c>
      <c r="BQ172" s="118">
        <f t="shared" si="443"/>
        <v>0</v>
      </c>
      <c r="BR172" s="621">
        <f t="shared" si="458"/>
        <v>0</v>
      </c>
      <c r="BS172" s="621">
        <f t="shared" si="458"/>
        <v>0</v>
      </c>
      <c r="BT172" s="621">
        <f t="shared" si="458"/>
        <v>0</v>
      </c>
      <c r="BU172" s="621">
        <f t="shared" si="458"/>
        <v>0</v>
      </c>
      <c r="BV172" s="621">
        <f t="shared" si="458"/>
        <v>0</v>
      </c>
      <c r="BW172" s="621">
        <f t="shared" si="458"/>
        <v>0</v>
      </c>
      <c r="BX172" s="621">
        <f t="shared" si="458"/>
        <v>0</v>
      </c>
      <c r="BY172" s="621">
        <f t="shared" si="458"/>
        <v>0</v>
      </c>
      <c r="BZ172" s="621">
        <f t="shared" si="458"/>
        <v>0</v>
      </c>
      <c r="CA172" s="621">
        <f t="shared" si="458"/>
        <v>0</v>
      </c>
      <c r="CB172" s="621">
        <f t="shared" si="458"/>
        <v>0</v>
      </c>
      <c r="CC172" s="621">
        <f t="shared" si="458"/>
        <v>0</v>
      </c>
      <c r="CD172" s="118">
        <f t="shared" si="445"/>
        <v>0</v>
      </c>
      <c r="CE172" s="621">
        <f t="shared" si="458"/>
        <v>0</v>
      </c>
      <c r="CF172" s="621">
        <f t="shared" si="458"/>
        <v>0</v>
      </c>
      <c r="CG172" s="621">
        <f t="shared" si="458"/>
        <v>0</v>
      </c>
      <c r="CH172" s="621">
        <f t="shared" si="458"/>
        <v>0</v>
      </c>
      <c r="CI172" s="621">
        <f t="shared" si="458"/>
        <v>0</v>
      </c>
      <c r="CJ172" s="621">
        <f t="shared" si="458"/>
        <v>0</v>
      </c>
      <c r="CK172" s="621">
        <f t="shared" si="458"/>
        <v>0</v>
      </c>
      <c r="CL172" s="621">
        <f t="shared" si="458"/>
        <v>0</v>
      </c>
      <c r="CM172" s="621">
        <f t="shared" si="458"/>
        <v>0</v>
      </c>
      <c r="CN172" s="621">
        <f t="shared" si="458"/>
        <v>0</v>
      </c>
      <c r="CO172" s="621">
        <f t="shared" si="458"/>
        <v>0</v>
      </c>
      <c r="CP172" s="621">
        <f t="shared" si="458"/>
        <v>0</v>
      </c>
      <c r="CQ172" s="118">
        <f t="shared" si="447"/>
        <v>0</v>
      </c>
      <c r="CR172" s="566"/>
      <c r="CS172" s="566"/>
      <c r="CT172" s="566"/>
      <c r="CU172" s="566"/>
      <c r="CV172" s="566"/>
      <c r="CW172" s="566"/>
      <c r="CX172" s="566"/>
      <c r="CY172" s="566"/>
      <c r="CZ172" s="566"/>
      <c r="DA172" s="566"/>
      <c r="DB172" s="566"/>
      <c r="DC172" s="566"/>
    </row>
    <row r="173" spans="1:115" s="622" customFormat="1" ht="14.25" customHeight="1" x14ac:dyDescent="0.4">
      <c r="A173" s="94"/>
      <c r="B173" s="566" t="s">
        <v>623</v>
      </c>
      <c r="C173" s="620">
        <f t="shared" si="448"/>
        <v>205927581.54768068</v>
      </c>
      <c r="D173" s="566"/>
      <c r="E173" s="621">
        <f>IF(E170=0,0,E170*9.6%)</f>
        <v>0</v>
      </c>
      <c r="F173" s="585">
        <f t="shared" ref="F173:AD173" si="459">IF(E189="Phase 1",F170*9.6%,0)</f>
        <v>0</v>
      </c>
      <c r="G173" s="585">
        <f t="shared" si="459"/>
        <v>0</v>
      </c>
      <c r="H173" s="585">
        <f t="shared" si="459"/>
        <v>0</v>
      </c>
      <c r="I173" s="585">
        <f t="shared" si="459"/>
        <v>0</v>
      </c>
      <c r="J173" s="585">
        <f t="shared" si="459"/>
        <v>0</v>
      </c>
      <c r="K173" s="585">
        <f t="shared" si="459"/>
        <v>0</v>
      </c>
      <c r="L173" s="585">
        <f t="shared" si="459"/>
        <v>0</v>
      </c>
      <c r="M173" s="585">
        <f t="shared" si="459"/>
        <v>0</v>
      </c>
      <c r="N173" s="585">
        <f t="shared" si="459"/>
        <v>0</v>
      </c>
      <c r="O173" s="585">
        <f t="shared" si="459"/>
        <v>0</v>
      </c>
      <c r="P173" s="585">
        <f t="shared" si="459"/>
        <v>0</v>
      </c>
      <c r="Q173" s="589">
        <f t="shared" si="459"/>
        <v>0</v>
      </c>
      <c r="R173" s="585">
        <f t="shared" si="459"/>
        <v>0</v>
      </c>
      <c r="S173" s="585">
        <f t="shared" si="459"/>
        <v>0</v>
      </c>
      <c r="T173" s="585">
        <f t="shared" si="459"/>
        <v>0</v>
      </c>
      <c r="U173" s="585">
        <f t="shared" si="459"/>
        <v>0</v>
      </c>
      <c r="V173" s="585">
        <f t="shared" si="459"/>
        <v>0</v>
      </c>
      <c r="W173" s="585">
        <f t="shared" si="459"/>
        <v>0</v>
      </c>
      <c r="X173" s="585">
        <f t="shared" si="459"/>
        <v>0</v>
      </c>
      <c r="Y173" s="585">
        <f t="shared" si="459"/>
        <v>0</v>
      </c>
      <c r="Z173" s="585">
        <f t="shared" si="459"/>
        <v>0</v>
      </c>
      <c r="AA173" s="585">
        <f t="shared" si="459"/>
        <v>0</v>
      </c>
      <c r="AB173" s="585">
        <f t="shared" si="459"/>
        <v>0</v>
      </c>
      <c r="AC173" s="585">
        <f t="shared" si="459"/>
        <v>0</v>
      </c>
      <c r="AD173" s="589">
        <f t="shared" si="459"/>
        <v>0</v>
      </c>
      <c r="AE173" s="621">
        <f t="shared" ref="AE173:AO173" si="460">IF(AD187&lt;=0,0,AE170*9.6%)</f>
        <v>3565296.2154850988</v>
      </c>
      <c r="AF173" s="621">
        <f t="shared" si="460"/>
        <v>7690435.8360746326</v>
      </c>
      <c r="AG173" s="621">
        <f t="shared" si="460"/>
        <v>7239623.9741811808</v>
      </c>
      <c r="AH173" s="621">
        <f t="shared" si="460"/>
        <v>6182763.7682914808</v>
      </c>
      <c r="AI173" s="621">
        <f t="shared" si="460"/>
        <v>9803838.494238032</v>
      </c>
      <c r="AJ173" s="621">
        <f t="shared" si="460"/>
        <v>10715037.72418458</v>
      </c>
      <c r="AK173" s="621">
        <f t="shared" si="460"/>
        <v>11293685.267411128</v>
      </c>
      <c r="AL173" s="621">
        <f t="shared" si="460"/>
        <v>11638933.586637678</v>
      </c>
      <c r="AM173" s="621">
        <f t="shared" si="460"/>
        <v>11812513.154637678</v>
      </c>
      <c r="AN173" s="621">
        <f t="shared" si="460"/>
        <v>11810737.154637678</v>
      </c>
      <c r="AO173" s="621">
        <f t="shared" si="460"/>
        <v>11812657.154637678</v>
      </c>
      <c r="AP173" s="621">
        <f>IF(AO187&lt;=0,0,AP170*9.6%)</f>
        <v>11812513.154637678</v>
      </c>
      <c r="AQ173" s="118">
        <f t="shared" si="439"/>
        <v>115378035.48505454</v>
      </c>
      <c r="AR173" s="621">
        <f t="shared" ref="AR173:AW173" si="461">IF(AQ187&lt;=0,0,AR170*9.6%)</f>
        <v>7876061.7700641407</v>
      </c>
      <c r="AS173" s="621">
        <f t="shared" si="461"/>
        <v>11810950.327508846</v>
      </c>
      <c r="AT173" s="621">
        <f t="shared" si="461"/>
        <v>11810806.327508846</v>
      </c>
      <c r="AU173" s="621">
        <f t="shared" si="461"/>
        <v>11809510.327508846</v>
      </c>
      <c r="AV173" s="621">
        <f t="shared" si="461"/>
        <v>11810950.327508846</v>
      </c>
      <c r="AW173" s="621">
        <f t="shared" si="461"/>
        <v>11810806.327508846</v>
      </c>
      <c r="AX173" s="621">
        <f>IF(AW187&lt;=0,0,AX170*9.6%)</f>
        <v>11809510.327508846</v>
      </c>
      <c r="AY173" s="621">
        <f t="shared" ref="AY173:BB173" si="462">IF(AX187&lt;=0,0,AY170*9.6%)</f>
        <v>11810950.327508846</v>
      </c>
      <c r="AZ173" s="621">
        <f t="shared" si="462"/>
        <v>0</v>
      </c>
      <c r="BA173" s="621">
        <f t="shared" si="462"/>
        <v>0</v>
      </c>
      <c r="BB173" s="621">
        <f t="shared" si="462"/>
        <v>0</v>
      </c>
      <c r="BC173" s="621">
        <f>IF(BB187&lt;=0,0,BC170*9.6%)</f>
        <v>0</v>
      </c>
      <c r="BD173" s="118">
        <f t="shared" si="441"/>
        <v>90549546.062626064</v>
      </c>
      <c r="BE173" s="621">
        <f t="shared" ref="BE173:CP173" si="463">IF(BD187&lt;=0,0,BE171*9.6%)</f>
        <v>0</v>
      </c>
      <c r="BF173" s="621">
        <f t="shared" si="463"/>
        <v>0</v>
      </c>
      <c r="BG173" s="621">
        <f t="shared" si="463"/>
        <v>0</v>
      </c>
      <c r="BH173" s="621">
        <f t="shared" si="463"/>
        <v>0</v>
      </c>
      <c r="BI173" s="621">
        <f t="shared" si="463"/>
        <v>0</v>
      </c>
      <c r="BJ173" s="621">
        <f t="shared" si="463"/>
        <v>0</v>
      </c>
      <c r="BK173" s="621">
        <f t="shared" si="463"/>
        <v>0</v>
      </c>
      <c r="BL173" s="621">
        <f t="shared" si="463"/>
        <v>0</v>
      </c>
      <c r="BM173" s="621">
        <f t="shared" si="463"/>
        <v>0</v>
      </c>
      <c r="BN173" s="621">
        <f t="shared" si="463"/>
        <v>0</v>
      </c>
      <c r="BO173" s="621">
        <f t="shared" si="463"/>
        <v>0</v>
      </c>
      <c r="BP173" s="621">
        <f t="shared" si="463"/>
        <v>0</v>
      </c>
      <c r="BQ173" s="118">
        <f t="shared" si="443"/>
        <v>0</v>
      </c>
      <c r="BR173" s="621">
        <f t="shared" si="463"/>
        <v>0</v>
      </c>
      <c r="BS173" s="621">
        <f t="shared" si="463"/>
        <v>0</v>
      </c>
      <c r="BT173" s="621">
        <f t="shared" si="463"/>
        <v>0</v>
      </c>
      <c r="BU173" s="621">
        <f t="shared" si="463"/>
        <v>0</v>
      </c>
      <c r="BV173" s="621">
        <f t="shared" si="463"/>
        <v>0</v>
      </c>
      <c r="BW173" s="621">
        <f t="shared" si="463"/>
        <v>0</v>
      </c>
      <c r="BX173" s="621">
        <f t="shared" si="463"/>
        <v>0</v>
      </c>
      <c r="BY173" s="621">
        <f t="shared" si="463"/>
        <v>0</v>
      </c>
      <c r="BZ173" s="621">
        <f t="shared" si="463"/>
        <v>0</v>
      </c>
      <c r="CA173" s="621">
        <f t="shared" si="463"/>
        <v>0</v>
      </c>
      <c r="CB173" s="621">
        <f t="shared" si="463"/>
        <v>0</v>
      </c>
      <c r="CC173" s="621">
        <f t="shared" si="463"/>
        <v>0</v>
      </c>
      <c r="CD173" s="118">
        <f t="shared" si="445"/>
        <v>0</v>
      </c>
      <c r="CE173" s="621">
        <f t="shared" si="463"/>
        <v>0</v>
      </c>
      <c r="CF173" s="621">
        <f t="shared" si="463"/>
        <v>0</v>
      </c>
      <c r="CG173" s="621">
        <f t="shared" si="463"/>
        <v>0</v>
      </c>
      <c r="CH173" s="621">
        <f t="shared" si="463"/>
        <v>0</v>
      </c>
      <c r="CI173" s="621">
        <f t="shared" si="463"/>
        <v>0</v>
      </c>
      <c r="CJ173" s="621">
        <f t="shared" si="463"/>
        <v>0</v>
      </c>
      <c r="CK173" s="621">
        <f t="shared" si="463"/>
        <v>0</v>
      </c>
      <c r="CL173" s="621">
        <f t="shared" si="463"/>
        <v>0</v>
      </c>
      <c r="CM173" s="621">
        <f t="shared" si="463"/>
        <v>0</v>
      </c>
      <c r="CN173" s="621">
        <f t="shared" si="463"/>
        <v>0</v>
      </c>
      <c r="CO173" s="621">
        <f t="shared" si="463"/>
        <v>0</v>
      </c>
      <c r="CP173" s="621">
        <f t="shared" si="463"/>
        <v>0</v>
      </c>
      <c r="CQ173" s="118">
        <f t="shared" si="447"/>
        <v>0</v>
      </c>
      <c r="CR173" s="566"/>
      <c r="CS173" s="566"/>
      <c r="CT173" s="566"/>
      <c r="CU173" s="566"/>
      <c r="CV173" s="566"/>
      <c r="CW173" s="566"/>
      <c r="CX173" s="566"/>
      <c r="CY173" s="566"/>
      <c r="CZ173" s="566"/>
      <c r="DA173" s="566"/>
      <c r="DB173" s="566"/>
      <c r="DC173" s="566"/>
    </row>
    <row r="174" spans="1:115" s="622" customFormat="1" ht="14.25" customHeight="1" x14ac:dyDescent="0.4">
      <c r="A174" s="94"/>
      <c r="B174" s="566" t="s">
        <v>653</v>
      </c>
      <c r="C174" s="620">
        <f t="shared" si="448"/>
        <v>342058360.10595351</v>
      </c>
      <c r="D174" s="566"/>
      <c r="E174" s="585">
        <f t="shared" ref="E174:AD174" si="464">IF(D189="Phase 2",E170*9.6%,0)</f>
        <v>0</v>
      </c>
      <c r="F174" s="585">
        <f t="shared" si="464"/>
        <v>0</v>
      </c>
      <c r="G174" s="585">
        <f t="shared" si="464"/>
        <v>0</v>
      </c>
      <c r="H174" s="585">
        <f t="shared" si="464"/>
        <v>0</v>
      </c>
      <c r="I174" s="585">
        <f t="shared" si="464"/>
        <v>0</v>
      </c>
      <c r="J174" s="585">
        <f t="shared" si="464"/>
        <v>0</v>
      </c>
      <c r="K174" s="585">
        <f t="shared" si="464"/>
        <v>0</v>
      </c>
      <c r="L174" s="585">
        <f t="shared" si="464"/>
        <v>0</v>
      </c>
      <c r="M174" s="585">
        <f t="shared" si="464"/>
        <v>0</v>
      </c>
      <c r="N174" s="585">
        <f t="shared" si="464"/>
        <v>0</v>
      </c>
      <c r="O174" s="585">
        <f t="shared" si="464"/>
        <v>0</v>
      </c>
      <c r="P174" s="585">
        <f t="shared" si="464"/>
        <v>0</v>
      </c>
      <c r="Q174" s="589">
        <f t="shared" si="464"/>
        <v>0</v>
      </c>
      <c r="R174" s="585">
        <f t="shared" si="464"/>
        <v>0</v>
      </c>
      <c r="S174" s="585">
        <f t="shared" si="464"/>
        <v>0</v>
      </c>
      <c r="T174" s="585">
        <f t="shared" si="464"/>
        <v>0</v>
      </c>
      <c r="U174" s="585">
        <f t="shared" si="464"/>
        <v>0</v>
      </c>
      <c r="V174" s="585">
        <f t="shared" si="464"/>
        <v>0</v>
      </c>
      <c r="W174" s="585">
        <f t="shared" si="464"/>
        <v>0</v>
      </c>
      <c r="X174" s="585">
        <f t="shared" si="464"/>
        <v>0</v>
      </c>
      <c r="Y174" s="585">
        <f t="shared" si="464"/>
        <v>0</v>
      </c>
      <c r="Z174" s="585">
        <f t="shared" si="464"/>
        <v>0</v>
      </c>
      <c r="AA174" s="585">
        <f t="shared" si="464"/>
        <v>0</v>
      </c>
      <c r="AB174" s="585">
        <f t="shared" si="464"/>
        <v>0</v>
      </c>
      <c r="AC174" s="585">
        <f t="shared" si="464"/>
        <v>0</v>
      </c>
      <c r="AD174" s="589">
        <f t="shared" si="464"/>
        <v>0</v>
      </c>
      <c r="AE174" s="621">
        <f>IF(AD187&gt;0,0,IF(AD192&gt;0,AE170*9.6%,0))</f>
        <v>0</v>
      </c>
      <c r="AF174" s="621">
        <f t="shared" ref="AF174:CP174" si="465">IF(AE187&gt;0,0,IF(AE192&gt;0,AF170*9.6%,0))</f>
        <v>0</v>
      </c>
      <c r="AG174" s="621">
        <f t="shared" si="465"/>
        <v>0</v>
      </c>
      <c r="AH174" s="621">
        <f t="shared" si="465"/>
        <v>0</v>
      </c>
      <c r="AI174" s="621">
        <f t="shared" si="465"/>
        <v>0</v>
      </c>
      <c r="AJ174" s="621">
        <f t="shared" si="465"/>
        <v>0</v>
      </c>
      <c r="AK174" s="621">
        <f t="shared" si="465"/>
        <v>0</v>
      </c>
      <c r="AL174" s="621">
        <f t="shared" si="465"/>
        <v>0</v>
      </c>
      <c r="AM174" s="621">
        <f t="shared" si="465"/>
        <v>0</v>
      </c>
      <c r="AN174" s="621">
        <f t="shared" si="465"/>
        <v>0</v>
      </c>
      <c r="AO174" s="621">
        <f t="shared" si="465"/>
        <v>0</v>
      </c>
      <c r="AP174" s="621">
        <f t="shared" si="465"/>
        <v>0</v>
      </c>
      <c r="AQ174" s="118">
        <f t="shared" si="439"/>
        <v>0</v>
      </c>
      <c r="AR174" s="621">
        <f t="shared" si="465"/>
        <v>0</v>
      </c>
      <c r="AS174" s="621">
        <f t="shared" si="465"/>
        <v>0</v>
      </c>
      <c r="AT174" s="621">
        <f t="shared" si="465"/>
        <v>0</v>
      </c>
      <c r="AU174" s="621">
        <f t="shared" si="465"/>
        <v>0</v>
      </c>
      <c r="AV174" s="621">
        <f t="shared" si="465"/>
        <v>0</v>
      </c>
      <c r="AW174" s="621">
        <f t="shared" si="465"/>
        <v>0</v>
      </c>
      <c r="AX174" s="621">
        <f t="shared" si="465"/>
        <v>0</v>
      </c>
      <c r="AY174" s="621">
        <f t="shared" si="465"/>
        <v>0</v>
      </c>
      <c r="AZ174" s="621">
        <f t="shared" si="465"/>
        <v>11810806.327508846</v>
      </c>
      <c r="BA174" s="621">
        <f t="shared" si="465"/>
        <v>11809030.327508846</v>
      </c>
      <c r="BB174" s="621">
        <f t="shared" si="465"/>
        <v>11810950.327508846</v>
      </c>
      <c r="BC174" s="621">
        <f t="shared" si="465"/>
        <v>11810806.327508846</v>
      </c>
      <c r="BD174" s="118">
        <f t="shared" si="441"/>
        <v>47241593.310035385</v>
      </c>
      <c r="BE174" s="621">
        <f t="shared" si="465"/>
        <v>9691026.7690882627</v>
      </c>
      <c r="BF174" s="621">
        <f t="shared" si="465"/>
        <v>11809480.50729486</v>
      </c>
      <c r="BG174" s="621">
        <f t="shared" si="465"/>
        <v>11809263.823774859</v>
      </c>
      <c r="BH174" s="621">
        <f t="shared" si="465"/>
        <v>11807967.823774859</v>
      </c>
      <c r="BI174" s="621">
        <f t="shared" si="465"/>
        <v>11809332.23291406</v>
      </c>
      <c r="BJ174" s="621">
        <f t="shared" si="465"/>
        <v>11809188.23291406</v>
      </c>
      <c r="BK174" s="621">
        <f t="shared" si="465"/>
        <v>11807813.618418828</v>
      </c>
      <c r="BL174" s="621">
        <f t="shared" si="465"/>
        <v>11809253.618418828</v>
      </c>
      <c r="BM174" s="621">
        <f t="shared" si="465"/>
        <v>11809027.85934379</v>
      </c>
      <c r="BN174" s="621">
        <f t="shared" si="465"/>
        <v>11807251.859343786</v>
      </c>
      <c r="BO174" s="621">
        <f t="shared" si="465"/>
        <v>11809086.829905743</v>
      </c>
      <c r="BP174" s="621">
        <f t="shared" ref="BP174" si="466">IF(BO187&gt;0,0,IF(BO192&gt;0,BP170*9.6%,0))</f>
        <v>11808942.829905743</v>
      </c>
      <c r="BQ174" s="118">
        <f t="shared" si="443"/>
        <v>139587636.00509769</v>
      </c>
      <c r="BR174" s="621">
        <f t="shared" si="465"/>
        <v>11679981.148385856</v>
      </c>
      <c r="BS174" s="621">
        <f t="shared" si="465"/>
        <v>11807589.873666463</v>
      </c>
      <c r="BT174" s="621">
        <f t="shared" si="465"/>
        <v>11807445.873666463</v>
      </c>
      <c r="BU174" s="621">
        <f t="shared" si="465"/>
        <v>11806149.873666463</v>
      </c>
      <c r="BV174" s="621">
        <f t="shared" si="465"/>
        <v>11807589.873666463</v>
      </c>
      <c r="BW174" s="621">
        <f t="shared" si="465"/>
        <v>11807445.873666463</v>
      </c>
      <c r="BX174" s="621">
        <f t="shared" si="465"/>
        <v>11806149.873666463</v>
      </c>
      <c r="BY174" s="621">
        <f t="shared" si="465"/>
        <v>11807589.873666463</v>
      </c>
      <c r="BZ174" s="621">
        <f t="shared" si="465"/>
        <v>11807445.873666463</v>
      </c>
      <c r="CA174" s="621">
        <f t="shared" si="465"/>
        <v>11805669.873666463</v>
      </c>
      <c r="CB174" s="621">
        <f t="shared" si="465"/>
        <v>11807589.873666463</v>
      </c>
      <c r="CC174" s="621">
        <f t="shared" si="465"/>
        <v>11807445.873666463</v>
      </c>
      <c r="CD174" s="118">
        <f t="shared" si="445"/>
        <v>141558093.75871697</v>
      </c>
      <c r="CE174" s="621">
        <f t="shared" si="465"/>
        <v>13671037.032103363</v>
      </c>
      <c r="CF174" s="621">
        <f t="shared" si="465"/>
        <v>0</v>
      </c>
      <c r="CG174" s="621">
        <f t="shared" si="465"/>
        <v>0</v>
      </c>
      <c r="CH174" s="621">
        <f t="shared" si="465"/>
        <v>0</v>
      </c>
      <c r="CI174" s="621">
        <f t="shared" si="465"/>
        <v>0</v>
      </c>
      <c r="CJ174" s="621">
        <f t="shared" si="465"/>
        <v>0</v>
      </c>
      <c r="CK174" s="621">
        <f t="shared" si="465"/>
        <v>0</v>
      </c>
      <c r="CL174" s="621">
        <f t="shared" si="465"/>
        <v>0</v>
      </c>
      <c r="CM174" s="621">
        <f t="shared" si="465"/>
        <v>0</v>
      </c>
      <c r="CN174" s="621">
        <f t="shared" si="465"/>
        <v>0</v>
      </c>
      <c r="CO174" s="621">
        <f t="shared" si="465"/>
        <v>0</v>
      </c>
      <c r="CP174" s="621">
        <f t="shared" si="465"/>
        <v>0</v>
      </c>
      <c r="CQ174" s="118">
        <f t="shared" si="447"/>
        <v>13671037.032103363</v>
      </c>
      <c r="CR174" s="566"/>
      <c r="CS174" s="566"/>
      <c r="CT174" s="566"/>
      <c r="CU174" s="566"/>
      <c r="CV174" s="566"/>
      <c r="CW174" s="566"/>
      <c r="CX174" s="566"/>
      <c r="CY174" s="566"/>
      <c r="CZ174" s="566"/>
      <c r="DA174" s="566"/>
      <c r="DB174" s="566"/>
      <c r="DC174" s="566"/>
    </row>
    <row r="175" spans="1:115" s="622" customFormat="1" ht="14.25" customHeight="1" x14ac:dyDescent="0.4">
      <c r="A175" s="94"/>
      <c r="B175" s="566" t="s">
        <v>624</v>
      </c>
      <c r="C175" s="620">
        <f t="shared" si="448"/>
        <v>1368233440.4238141</v>
      </c>
      <c r="D175" s="566"/>
      <c r="E175" s="585">
        <f t="shared" ref="E175:AD175" si="467">IF(D189="Phase 2",E170*38.4%,0)</f>
        <v>0</v>
      </c>
      <c r="F175" s="585">
        <f t="shared" si="467"/>
        <v>0</v>
      </c>
      <c r="G175" s="585">
        <f t="shared" si="467"/>
        <v>0</v>
      </c>
      <c r="H175" s="585">
        <f t="shared" si="467"/>
        <v>0</v>
      </c>
      <c r="I175" s="585">
        <f t="shared" si="467"/>
        <v>0</v>
      </c>
      <c r="J175" s="585">
        <f t="shared" si="467"/>
        <v>0</v>
      </c>
      <c r="K175" s="585">
        <f t="shared" si="467"/>
        <v>0</v>
      </c>
      <c r="L175" s="585">
        <f t="shared" si="467"/>
        <v>0</v>
      </c>
      <c r="M175" s="585">
        <f t="shared" si="467"/>
        <v>0</v>
      </c>
      <c r="N175" s="585">
        <f t="shared" si="467"/>
        <v>0</v>
      </c>
      <c r="O175" s="585">
        <f t="shared" si="467"/>
        <v>0</v>
      </c>
      <c r="P175" s="585">
        <f t="shared" si="467"/>
        <v>0</v>
      </c>
      <c r="Q175" s="589">
        <f t="shared" si="467"/>
        <v>0</v>
      </c>
      <c r="R175" s="585">
        <f t="shared" si="467"/>
        <v>0</v>
      </c>
      <c r="S175" s="585">
        <f t="shared" si="467"/>
        <v>0</v>
      </c>
      <c r="T175" s="585">
        <f t="shared" si="467"/>
        <v>0</v>
      </c>
      <c r="U175" s="585">
        <f t="shared" si="467"/>
        <v>0</v>
      </c>
      <c r="V175" s="585">
        <f t="shared" si="467"/>
        <v>0</v>
      </c>
      <c r="W175" s="585">
        <f t="shared" si="467"/>
        <v>0</v>
      </c>
      <c r="X175" s="585">
        <f t="shared" si="467"/>
        <v>0</v>
      </c>
      <c r="Y175" s="585">
        <f t="shared" si="467"/>
        <v>0</v>
      </c>
      <c r="Z175" s="585">
        <f t="shared" si="467"/>
        <v>0</v>
      </c>
      <c r="AA175" s="585">
        <f t="shared" si="467"/>
        <v>0</v>
      </c>
      <c r="AB175" s="585">
        <f t="shared" si="467"/>
        <v>0</v>
      </c>
      <c r="AC175" s="585">
        <f t="shared" si="467"/>
        <v>0</v>
      </c>
      <c r="AD175" s="589">
        <f t="shared" si="467"/>
        <v>0</v>
      </c>
      <c r="AE175" s="621">
        <f>IF(AD187&gt;0,0,IF(AD192&gt;0,AE170*38.4%,0))</f>
        <v>0</v>
      </c>
      <c r="AF175" s="621">
        <f t="shared" ref="AF175:CP175" si="468">IF(AE187&gt;0,0,IF(AE192&gt;0,AF170*38.4%,0))</f>
        <v>0</v>
      </c>
      <c r="AG175" s="621">
        <f t="shared" si="468"/>
        <v>0</v>
      </c>
      <c r="AH175" s="621">
        <f t="shared" si="468"/>
        <v>0</v>
      </c>
      <c r="AI175" s="621">
        <f t="shared" si="468"/>
        <v>0</v>
      </c>
      <c r="AJ175" s="621">
        <f t="shared" si="468"/>
        <v>0</v>
      </c>
      <c r="AK175" s="621">
        <f t="shared" si="468"/>
        <v>0</v>
      </c>
      <c r="AL175" s="621">
        <f t="shared" si="468"/>
        <v>0</v>
      </c>
      <c r="AM175" s="621">
        <f t="shared" si="468"/>
        <v>0</v>
      </c>
      <c r="AN175" s="621">
        <f t="shared" si="468"/>
        <v>0</v>
      </c>
      <c r="AO175" s="621">
        <f t="shared" si="468"/>
        <v>0</v>
      </c>
      <c r="AP175" s="621">
        <f t="shared" si="468"/>
        <v>0</v>
      </c>
      <c r="AQ175" s="118">
        <f t="shared" si="439"/>
        <v>0</v>
      </c>
      <c r="AR175" s="621">
        <f t="shared" si="468"/>
        <v>0</v>
      </c>
      <c r="AS175" s="621">
        <f t="shared" si="468"/>
        <v>0</v>
      </c>
      <c r="AT175" s="621">
        <f t="shared" si="468"/>
        <v>0</v>
      </c>
      <c r="AU175" s="621">
        <f t="shared" si="468"/>
        <v>0</v>
      </c>
      <c r="AV175" s="621">
        <f t="shared" si="468"/>
        <v>0</v>
      </c>
      <c r="AW175" s="621">
        <f t="shared" si="468"/>
        <v>0</v>
      </c>
      <c r="AX175" s="621">
        <f t="shared" si="468"/>
        <v>0</v>
      </c>
      <c r="AY175" s="621">
        <f t="shared" si="468"/>
        <v>0</v>
      </c>
      <c r="AZ175" s="621">
        <f t="shared" si="468"/>
        <v>47243225.310035385</v>
      </c>
      <c r="BA175" s="621">
        <f t="shared" si="468"/>
        <v>47236121.310035385</v>
      </c>
      <c r="BB175" s="621">
        <f t="shared" si="468"/>
        <v>47243801.310035385</v>
      </c>
      <c r="BC175" s="621">
        <f t="shared" si="468"/>
        <v>47243225.310035385</v>
      </c>
      <c r="BD175" s="118">
        <f t="shared" si="441"/>
        <v>188966373.24014154</v>
      </c>
      <c r="BE175" s="621">
        <f t="shared" si="468"/>
        <v>38764107.076353051</v>
      </c>
      <c r="BF175" s="621">
        <f t="shared" si="468"/>
        <v>47237922.029179439</v>
      </c>
      <c r="BG175" s="621">
        <f t="shared" si="468"/>
        <v>47237055.295099437</v>
      </c>
      <c r="BH175" s="621">
        <f t="shared" si="468"/>
        <v>47231871.295099437</v>
      </c>
      <c r="BI175" s="621">
        <f t="shared" si="468"/>
        <v>47237328.931656241</v>
      </c>
      <c r="BJ175" s="621">
        <f t="shared" si="468"/>
        <v>47236752.931656241</v>
      </c>
      <c r="BK175" s="621">
        <f t="shared" si="468"/>
        <v>47231254.473675311</v>
      </c>
      <c r="BL175" s="621">
        <f t="shared" si="468"/>
        <v>47237014.473675311</v>
      </c>
      <c r="BM175" s="621">
        <f t="shared" si="468"/>
        <v>47236111.437375158</v>
      </c>
      <c r="BN175" s="621">
        <f t="shared" si="468"/>
        <v>47229007.437375143</v>
      </c>
      <c r="BO175" s="621">
        <f t="shared" si="468"/>
        <v>47236347.319622971</v>
      </c>
      <c r="BP175" s="621">
        <f t="shared" ref="BP175" si="469">IF(BO187&gt;0,0,IF(BO192&gt;0,BP170*38.4%,0))</f>
        <v>47235771.319622971</v>
      </c>
      <c r="BQ175" s="118">
        <f t="shared" si="443"/>
        <v>558350544.02039075</v>
      </c>
      <c r="BR175" s="621">
        <f t="shared" si="468"/>
        <v>46719924.593543425</v>
      </c>
      <c r="BS175" s="621">
        <f t="shared" si="468"/>
        <v>47230359.494665854</v>
      </c>
      <c r="BT175" s="621">
        <f t="shared" si="468"/>
        <v>47229783.494665854</v>
      </c>
      <c r="BU175" s="621">
        <f t="shared" si="468"/>
        <v>47224599.494665854</v>
      </c>
      <c r="BV175" s="621">
        <f t="shared" si="468"/>
        <v>47230359.494665854</v>
      </c>
      <c r="BW175" s="621">
        <f t="shared" si="468"/>
        <v>47229783.494665854</v>
      </c>
      <c r="BX175" s="621">
        <f t="shared" si="468"/>
        <v>47224599.494665854</v>
      </c>
      <c r="BY175" s="621">
        <f t="shared" si="468"/>
        <v>47230359.494665854</v>
      </c>
      <c r="BZ175" s="621">
        <f t="shared" si="468"/>
        <v>47229783.494665854</v>
      </c>
      <c r="CA175" s="621">
        <f t="shared" si="468"/>
        <v>47222679.494665854</v>
      </c>
      <c r="CB175" s="621">
        <f t="shared" si="468"/>
        <v>47230359.494665854</v>
      </c>
      <c r="CC175" s="621">
        <f t="shared" si="468"/>
        <v>47229783.494665854</v>
      </c>
      <c r="CD175" s="118">
        <f t="shared" si="445"/>
        <v>566232375.03486788</v>
      </c>
      <c r="CE175" s="621">
        <f t="shared" si="468"/>
        <v>54684148.128413454</v>
      </c>
      <c r="CF175" s="621">
        <f t="shared" si="468"/>
        <v>0</v>
      </c>
      <c r="CG175" s="621">
        <f t="shared" si="468"/>
        <v>0</v>
      </c>
      <c r="CH175" s="621">
        <f t="shared" si="468"/>
        <v>0</v>
      </c>
      <c r="CI175" s="621">
        <f t="shared" si="468"/>
        <v>0</v>
      </c>
      <c r="CJ175" s="621">
        <f t="shared" si="468"/>
        <v>0</v>
      </c>
      <c r="CK175" s="621">
        <f t="shared" si="468"/>
        <v>0</v>
      </c>
      <c r="CL175" s="621">
        <f t="shared" si="468"/>
        <v>0</v>
      </c>
      <c r="CM175" s="621">
        <f t="shared" si="468"/>
        <v>0</v>
      </c>
      <c r="CN175" s="621">
        <f t="shared" si="468"/>
        <v>0</v>
      </c>
      <c r="CO175" s="621">
        <f t="shared" si="468"/>
        <v>0</v>
      </c>
      <c r="CP175" s="621">
        <f t="shared" si="468"/>
        <v>0</v>
      </c>
      <c r="CQ175" s="118">
        <f t="shared" si="447"/>
        <v>54684148.128413454</v>
      </c>
      <c r="CR175" s="566"/>
      <c r="CS175" s="566"/>
      <c r="CT175" s="566"/>
      <c r="CU175" s="566"/>
      <c r="CV175" s="566"/>
      <c r="CW175" s="566"/>
      <c r="CX175" s="566"/>
      <c r="CY175" s="566"/>
      <c r="CZ175" s="566"/>
      <c r="DA175" s="566"/>
      <c r="DB175" s="566"/>
      <c r="DC175" s="566"/>
    </row>
    <row r="176" spans="1:115" s="622" customFormat="1" ht="14.25" customHeight="1" x14ac:dyDescent="0.4">
      <c r="A176" s="94"/>
      <c r="B176" s="566" t="s">
        <v>625</v>
      </c>
      <c r="C176" s="620">
        <f>SUM(E176:CQ176)-Q176-AD176-AQ176-BD176-BQ176-CD176-CQ176</f>
        <v>280386652.08083999</v>
      </c>
      <c r="D176" s="566"/>
      <c r="E176" s="585">
        <f t="shared" ref="E176:AD176" si="470">IF(D189="Phase 3",E170*20%,0)</f>
        <v>0</v>
      </c>
      <c r="F176" s="585">
        <f t="shared" si="470"/>
        <v>0</v>
      </c>
      <c r="G176" s="585">
        <f t="shared" si="470"/>
        <v>0</v>
      </c>
      <c r="H176" s="585">
        <f t="shared" si="470"/>
        <v>0</v>
      </c>
      <c r="I176" s="585">
        <f t="shared" si="470"/>
        <v>0</v>
      </c>
      <c r="J176" s="585">
        <f t="shared" si="470"/>
        <v>0</v>
      </c>
      <c r="K176" s="585">
        <f t="shared" si="470"/>
        <v>0</v>
      </c>
      <c r="L176" s="585">
        <f t="shared" si="470"/>
        <v>0</v>
      </c>
      <c r="M176" s="585">
        <f t="shared" si="470"/>
        <v>0</v>
      </c>
      <c r="N176" s="585">
        <f t="shared" si="470"/>
        <v>0</v>
      </c>
      <c r="O176" s="585">
        <f t="shared" si="470"/>
        <v>0</v>
      </c>
      <c r="P176" s="585">
        <f t="shared" si="470"/>
        <v>0</v>
      </c>
      <c r="Q176" s="589">
        <f t="shared" si="470"/>
        <v>0</v>
      </c>
      <c r="R176" s="585">
        <f t="shared" si="470"/>
        <v>0</v>
      </c>
      <c r="S176" s="585">
        <f t="shared" si="470"/>
        <v>0</v>
      </c>
      <c r="T176" s="585">
        <f t="shared" si="470"/>
        <v>0</v>
      </c>
      <c r="U176" s="585">
        <f t="shared" si="470"/>
        <v>0</v>
      </c>
      <c r="V176" s="585">
        <f t="shared" si="470"/>
        <v>0</v>
      </c>
      <c r="W176" s="585">
        <f t="shared" si="470"/>
        <v>0</v>
      </c>
      <c r="X176" s="585">
        <f t="shared" si="470"/>
        <v>0</v>
      </c>
      <c r="Y176" s="585">
        <f t="shared" si="470"/>
        <v>0</v>
      </c>
      <c r="Z176" s="585">
        <f t="shared" si="470"/>
        <v>0</v>
      </c>
      <c r="AA176" s="585">
        <f t="shared" si="470"/>
        <v>0</v>
      </c>
      <c r="AB176" s="585">
        <f t="shared" si="470"/>
        <v>0</v>
      </c>
      <c r="AC176" s="585">
        <f t="shared" si="470"/>
        <v>0</v>
      </c>
      <c r="AD176" s="589">
        <f t="shared" si="470"/>
        <v>0</v>
      </c>
      <c r="AE176" s="621">
        <f>IF(AE192=0,AE170*20%,0)</f>
        <v>0</v>
      </c>
      <c r="AF176" s="621">
        <f>IF(AE192=0,AF170*20%,0)</f>
        <v>0</v>
      </c>
      <c r="AG176" s="621">
        <f t="shared" ref="AG176:CP176" si="471">IF(AF192=0,AG170*20%,0)</f>
        <v>0</v>
      </c>
      <c r="AH176" s="621">
        <f t="shared" si="471"/>
        <v>0</v>
      </c>
      <c r="AI176" s="621">
        <f t="shared" si="471"/>
        <v>0</v>
      </c>
      <c r="AJ176" s="621">
        <f t="shared" si="471"/>
        <v>0</v>
      </c>
      <c r="AK176" s="621">
        <f t="shared" si="471"/>
        <v>0</v>
      </c>
      <c r="AL176" s="621">
        <f t="shared" si="471"/>
        <v>0</v>
      </c>
      <c r="AM176" s="621">
        <f t="shared" si="471"/>
        <v>0</v>
      </c>
      <c r="AN176" s="621">
        <f t="shared" si="471"/>
        <v>0</v>
      </c>
      <c r="AO176" s="621">
        <f t="shared" si="471"/>
        <v>0</v>
      </c>
      <c r="AP176" s="621">
        <f t="shared" si="471"/>
        <v>0</v>
      </c>
      <c r="AQ176" s="118">
        <f t="shared" si="439"/>
        <v>0</v>
      </c>
      <c r="AR176" s="621">
        <f t="shared" si="471"/>
        <v>0</v>
      </c>
      <c r="AS176" s="621">
        <f t="shared" si="471"/>
        <v>0</v>
      </c>
      <c r="AT176" s="621">
        <f t="shared" si="471"/>
        <v>0</v>
      </c>
      <c r="AU176" s="621">
        <f t="shared" si="471"/>
        <v>0</v>
      </c>
      <c r="AV176" s="621">
        <f t="shared" si="471"/>
        <v>0</v>
      </c>
      <c r="AW176" s="621">
        <f t="shared" si="471"/>
        <v>0</v>
      </c>
      <c r="AX176" s="621">
        <f t="shared" si="471"/>
        <v>0</v>
      </c>
      <c r="AY176" s="621">
        <f t="shared" si="471"/>
        <v>0</v>
      </c>
      <c r="AZ176" s="621">
        <f t="shared" si="471"/>
        <v>0</v>
      </c>
      <c r="BA176" s="621">
        <f t="shared" si="471"/>
        <v>0</v>
      </c>
      <c r="BB176" s="621">
        <f t="shared" si="471"/>
        <v>0</v>
      </c>
      <c r="BC176" s="621">
        <f t="shared" si="471"/>
        <v>0</v>
      </c>
      <c r="BD176" s="118">
        <f t="shared" si="441"/>
        <v>0</v>
      </c>
      <c r="BE176" s="621">
        <f t="shared" si="471"/>
        <v>0</v>
      </c>
      <c r="BF176" s="621">
        <f t="shared" si="471"/>
        <v>0</v>
      </c>
      <c r="BG176" s="621">
        <f t="shared" si="471"/>
        <v>0</v>
      </c>
      <c r="BH176" s="621">
        <f t="shared" si="471"/>
        <v>0</v>
      </c>
      <c r="BI176" s="621">
        <f t="shared" si="471"/>
        <v>0</v>
      </c>
      <c r="BJ176" s="621">
        <f t="shared" si="471"/>
        <v>0</v>
      </c>
      <c r="BK176" s="621">
        <f t="shared" si="471"/>
        <v>0</v>
      </c>
      <c r="BL176" s="621">
        <f t="shared" si="471"/>
        <v>0</v>
      </c>
      <c r="BM176" s="621">
        <f t="shared" si="471"/>
        <v>0</v>
      </c>
      <c r="BN176" s="621">
        <f t="shared" si="471"/>
        <v>0</v>
      </c>
      <c r="BO176" s="621">
        <f t="shared" si="471"/>
        <v>0</v>
      </c>
      <c r="BP176" s="621">
        <f t="shared" si="471"/>
        <v>0</v>
      </c>
      <c r="BQ176" s="118">
        <f t="shared" si="443"/>
        <v>0</v>
      </c>
      <c r="BR176" s="621">
        <f t="shared" si="471"/>
        <v>0</v>
      </c>
      <c r="BS176" s="621">
        <f t="shared" si="471"/>
        <v>0</v>
      </c>
      <c r="BT176" s="621">
        <f t="shared" si="471"/>
        <v>0</v>
      </c>
      <c r="BU176" s="621">
        <f t="shared" si="471"/>
        <v>0</v>
      </c>
      <c r="BV176" s="621">
        <f t="shared" si="471"/>
        <v>0</v>
      </c>
      <c r="BW176" s="621">
        <f t="shared" si="471"/>
        <v>0</v>
      </c>
      <c r="BX176" s="621">
        <f t="shared" si="471"/>
        <v>0</v>
      </c>
      <c r="BY176" s="621">
        <f t="shared" si="471"/>
        <v>0</v>
      </c>
      <c r="BZ176" s="621">
        <f t="shared" si="471"/>
        <v>0</v>
      </c>
      <c r="CA176" s="621">
        <f t="shared" si="471"/>
        <v>0</v>
      </c>
      <c r="CB176" s="621">
        <f t="shared" si="471"/>
        <v>0</v>
      </c>
      <c r="CC176" s="621">
        <f t="shared" si="471"/>
        <v>0</v>
      </c>
      <c r="CD176" s="118">
        <f t="shared" si="445"/>
        <v>0</v>
      </c>
      <c r="CE176" s="621">
        <f t="shared" si="471"/>
        <v>0</v>
      </c>
      <c r="CF176" s="621">
        <f>IF(CE192&lt;=0,CF170*20%,0)</f>
        <v>25535008.826531772</v>
      </c>
      <c r="CG176" s="621">
        <f>IF(CF192&lt;=0,CG170*20%,0)</f>
        <v>25541750.527179223</v>
      </c>
      <c r="CH176" s="621">
        <f t="shared" si="471"/>
        <v>25546145.040581524</v>
      </c>
      <c r="CI176" s="621">
        <f t="shared" si="471"/>
        <v>25556292.762834337</v>
      </c>
      <c r="CJ176" s="621">
        <f t="shared" si="471"/>
        <v>25563194.093004052</v>
      </c>
      <c r="CK176" s="621">
        <f t="shared" si="471"/>
        <v>25567749.433150042</v>
      </c>
      <c r="CL176" s="621">
        <f t="shared" si="471"/>
        <v>25578059.18834712</v>
      </c>
      <c r="CM176" s="621">
        <f t="shared" si="471"/>
        <v>25585123.766708184</v>
      </c>
      <c r="CN176" s="621">
        <f t="shared" si="471"/>
        <v>25588843.579406947</v>
      </c>
      <c r="CO176" s="621">
        <f t="shared" si="471"/>
        <v>25600319.040700965</v>
      </c>
      <c r="CP176" s="621">
        <f t="shared" si="471"/>
        <v>24724165.822395798</v>
      </c>
      <c r="CQ176" s="118">
        <f t="shared" si="447"/>
        <v>280386652.08083999</v>
      </c>
      <c r="CR176" s="566"/>
      <c r="CS176" s="566"/>
      <c r="CT176" s="566"/>
      <c r="CU176" s="566"/>
      <c r="CV176" s="566"/>
      <c r="CW176" s="566"/>
      <c r="CX176" s="566"/>
      <c r="CY176" s="566"/>
      <c r="CZ176" s="566"/>
      <c r="DA176" s="566"/>
      <c r="DB176" s="566"/>
      <c r="DC176" s="566"/>
    </row>
    <row r="177" spans="1:117" s="622" customFormat="1" ht="14.25" customHeight="1" x14ac:dyDescent="0.4">
      <c r="A177" s="94"/>
      <c r="B177" s="566" t="s">
        <v>626</v>
      </c>
      <c r="C177" s="620">
        <f>SUM(E177:CQ177)-Q177-AD177-AQ177-BD177-BQ177-CD177-CQ177</f>
        <v>392541312.913176</v>
      </c>
      <c r="D177" s="566"/>
      <c r="E177" s="585">
        <f t="shared" ref="E177:AD177" si="472">IF(D189="Phase 3",E170*28%,0)</f>
        <v>0</v>
      </c>
      <c r="F177" s="585">
        <f t="shared" si="472"/>
        <v>0</v>
      </c>
      <c r="G177" s="585">
        <f t="shared" si="472"/>
        <v>0</v>
      </c>
      <c r="H177" s="585">
        <f t="shared" si="472"/>
        <v>0</v>
      </c>
      <c r="I177" s="585">
        <f t="shared" si="472"/>
        <v>0</v>
      </c>
      <c r="J177" s="585">
        <f t="shared" si="472"/>
        <v>0</v>
      </c>
      <c r="K177" s="585">
        <f t="shared" si="472"/>
        <v>0</v>
      </c>
      <c r="L177" s="585">
        <f t="shared" si="472"/>
        <v>0</v>
      </c>
      <c r="M177" s="585">
        <f t="shared" si="472"/>
        <v>0</v>
      </c>
      <c r="N177" s="585">
        <f t="shared" si="472"/>
        <v>0</v>
      </c>
      <c r="O177" s="585">
        <f t="shared" si="472"/>
        <v>0</v>
      </c>
      <c r="P177" s="585">
        <f t="shared" si="472"/>
        <v>0</v>
      </c>
      <c r="Q177" s="589">
        <f t="shared" si="472"/>
        <v>0</v>
      </c>
      <c r="R177" s="585">
        <f t="shared" si="472"/>
        <v>0</v>
      </c>
      <c r="S177" s="585">
        <f t="shared" si="472"/>
        <v>0</v>
      </c>
      <c r="T177" s="585">
        <f t="shared" si="472"/>
        <v>0</v>
      </c>
      <c r="U177" s="585">
        <f t="shared" si="472"/>
        <v>0</v>
      </c>
      <c r="V177" s="585">
        <f t="shared" si="472"/>
        <v>0</v>
      </c>
      <c r="W177" s="585">
        <f t="shared" si="472"/>
        <v>0</v>
      </c>
      <c r="X177" s="585">
        <f t="shared" si="472"/>
        <v>0</v>
      </c>
      <c r="Y177" s="585">
        <f t="shared" si="472"/>
        <v>0</v>
      </c>
      <c r="Z177" s="585">
        <f t="shared" si="472"/>
        <v>0</v>
      </c>
      <c r="AA177" s="585">
        <f t="shared" si="472"/>
        <v>0</v>
      </c>
      <c r="AB177" s="585">
        <f t="shared" si="472"/>
        <v>0</v>
      </c>
      <c r="AC177" s="585">
        <f t="shared" si="472"/>
        <v>0</v>
      </c>
      <c r="AD177" s="589">
        <f t="shared" si="472"/>
        <v>0</v>
      </c>
      <c r="AE177" s="621">
        <f>IF(AE192=0,AE170*28%,0)</f>
        <v>0</v>
      </c>
      <c r="AF177" s="621">
        <f t="shared" ref="AF177:CE177" si="473">IF(AF192=0,AF170*28%,0)</f>
        <v>0</v>
      </c>
      <c r="AG177" s="621">
        <f t="shared" si="473"/>
        <v>0</v>
      </c>
      <c r="AH177" s="621">
        <f t="shared" si="473"/>
        <v>0</v>
      </c>
      <c r="AI177" s="621">
        <f t="shared" si="473"/>
        <v>0</v>
      </c>
      <c r="AJ177" s="621">
        <f t="shared" si="473"/>
        <v>0</v>
      </c>
      <c r="AK177" s="621">
        <f t="shared" si="473"/>
        <v>0</v>
      </c>
      <c r="AL177" s="621">
        <f t="shared" si="473"/>
        <v>0</v>
      </c>
      <c r="AM177" s="621">
        <f t="shared" si="473"/>
        <v>0</v>
      </c>
      <c r="AN177" s="621">
        <f t="shared" si="473"/>
        <v>0</v>
      </c>
      <c r="AO177" s="621">
        <f t="shared" si="473"/>
        <v>0</v>
      </c>
      <c r="AP177" s="621">
        <f t="shared" si="473"/>
        <v>0</v>
      </c>
      <c r="AQ177" s="118">
        <f t="shared" si="439"/>
        <v>0</v>
      </c>
      <c r="AR177" s="621">
        <f t="shared" si="473"/>
        <v>0</v>
      </c>
      <c r="AS177" s="621">
        <f t="shared" si="473"/>
        <v>0</v>
      </c>
      <c r="AT177" s="621">
        <f t="shared" si="473"/>
        <v>0</v>
      </c>
      <c r="AU177" s="621">
        <f t="shared" si="473"/>
        <v>0</v>
      </c>
      <c r="AV177" s="621">
        <f t="shared" si="473"/>
        <v>0</v>
      </c>
      <c r="AW177" s="621">
        <f t="shared" si="473"/>
        <v>0</v>
      </c>
      <c r="AX177" s="621">
        <f t="shared" si="473"/>
        <v>0</v>
      </c>
      <c r="AY177" s="621">
        <f t="shared" si="473"/>
        <v>0</v>
      </c>
      <c r="AZ177" s="621">
        <f t="shared" si="473"/>
        <v>0</v>
      </c>
      <c r="BA177" s="621">
        <f t="shared" si="473"/>
        <v>0</v>
      </c>
      <c r="BB177" s="621">
        <f t="shared" si="473"/>
        <v>0</v>
      </c>
      <c r="BC177" s="621">
        <f t="shared" si="473"/>
        <v>0</v>
      </c>
      <c r="BD177" s="118">
        <f t="shared" si="441"/>
        <v>0</v>
      </c>
      <c r="BE177" s="621">
        <f t="shared" si="473"/>
        <v>0</v>
      </c>
      <c r="BF177" s="621">
        <f t="shared" si="473"/>
        <v>0</v>
      </c>
      <c r="BG177" s="621">
        <f t="shared" si="473"/>
        <v>0</v>
      </c>
      <c r="BH177" s="621">
        <f t="shared" si="473"/>
        <v>0</v>
      </c>
      <c r="BI177" s="621">
        <f t="shared" si="473"/>
        <v>0</v>
      </c>
      <c r="BJ177" s="621">
        <f t="shared" si="473"/>
        <v>0</v>
      </c>
      <c r="BK177" s="621">
        <f t="shared" si="473"/>
        <v>0</v>
      </c>
      <c r="BL177" s="621">
        <f t="shared" si="473"/>
        <v>0</v>
      </c>
      <c r="BM177" s="621">
        <f t="shared" si="473"/>
        <v>0</v>
      </c>
      <c r="BN177" s="621">
        <f t="shared" si="473"/>
        <v>0</v>
      </c>
      <c r="BO177" s="621">
        <f>IF(BN192=0,BO170*28%,0)</f>
        <v>0</v>
      </c>
      <c r="BP177" s="621">
        <f>IF(BO192=0,BP170*28%,0)</f>
        <v>0</v>
      </c>
      <c r="BQ177" s="118">
        <f t="shared" si="443"/>
        <v>0</v>
      </c>
      <c r="BR177" s="621">
        <f>IF(BR192=0,BR170*28%,0)</f>
        <v>0</v>
      </c>
      <c r="BS177" s="621">
        <f>IF(BR192=0,BS170*28%,0)</f>
        <v>0</v>
      </c>
      <c r="BT177" s="621">
        <f t="shared" ref="BT177:CC177" si="474">IF(BS192=0,BT170*28%,0)</f>
        <v>0</v>
      </c>
      <c r="BU177" s="621">
        <f t="shared" si="474"/>
        <v>0</v>
      </c>
      <c r="BV177" s="621">
        <f t="shared" si="474"/>
        <v>0</v>
      </c>
      <c r="BW177" s="621">
        <f t="shared" si="474"/>
        <v>0</v>
      </c>
      <c r="BX177" s="621">
        <f t="shared" si="474"/>
        <v>0</v>
      </c>
      <c r="BY177" s="621">
        <f t="shared" si="474"/>
        <v>0</v>
      </c>
      <c r="BZ177" s="621">
        <f t="shared" si="474"/>
        <v>0</v>
      </c>
      <c r="CA177" s="621">
        <f t="shared" si="474"/>
        <v>0</v>
      </c>
      <c r="CB177" s="621">
        <f t="shared" si="474"/>
        <v>0</v>
      </c>
      <c r="CC177" s="621">
        <f t="shared" si="474"/>
        <v>0</v>
      </c>
      <c r="CD177" s="118">
        <f t="shared" si="445"/>
        <v>0</v>
      </c>
      <c r="CE177" s="621">
        <f t="shared" si="473"/>
        <v>0</v>
      </c>
      <c r="CF177" s="621">
        <f>IF(CE192&lt;=0,CF170*28%,0)</f>
        <v>35749012.357144482</v>
      </c>
      <c r="CG177" s="621">
        <f>IF(CF192&lt;=0,CG170*28%,0)</f>
        <v>35758450.738050915</v>
      </c>
      <c r="CH177" s="621">
        <f>IF(CG192&lt;=0,CH170*28%,0)</f>
        <v>35764603.056814134</v>
      </c>
      <c r="CI177" s="621">
        <f t="shared" ref="CI177:CP177" si="475">IF(CH192=0,CI170*28%,0)</f>
        <v>35778809.867968075</v>
      </c>
      <c r="CJ177" s="621">
        <f t="shared" si="475"/>
        <v>35788471.730205677</v>
      </c>
      <c r="CK177" s="621">
        <f t="shared" si="475"/>
        <v>35794849.206410058</v>
      </c>
      <c r="CL177" s="621">
        <f t="shared" si="475"/>
        <v>35809282.863685973</v>
      </c>
      <c r="CM177" s="621">
        <f t="shared" si="475"/>
        <v>35819173.273391463</v>
      </c>
      <c r="CN177" s="621">
        <f t="shared" si="475"/>
        <v>35824381.011169732</v>
      </c>
      <c r="CO177" s="621">
        <f t="shared" si="475"/>
        <v>35840446.656981349</v>
      </c>
      <c r="CP177" s="621">
        <f t="shared" si="475"/>
        <v>34613832.151354119</v>
      </c>
      <c r="CQ177" s="118">
        <f t="shared" si="447"/>
        <v>392541312.913176</v>
      </c>
      <c r="CR177" s="566"/>
      <c r="CS177" s="566"/>
      <c r="CT177" s="566"/>
      <c r="CU177" s="566"/>
      <c r="CV177" s="566"/>
      <c r="CW177" s="566"/>
      <c r="CX177" s="566"/>
      <c r="CY177" s="566"/>
      <c r="CZ177" s="566"/>
      <c r="DA177" s="566"/>
      <c r="DB177" s="566"/>
      <c r="DC177" s="566"/>
    </row>
    <row r="178" spans="1:117" ht="15.75" customHeight="1" x14ac:dyDescent="0.4">
      <c r="A178" s="94"/>
      <c r="B178" s="24"/>
      <c r="C178" s="88"/>
      <c r="D178" s="49"/>
      <c r="E178" s="536"/>
      <c r="F178" s="536"/>
      <c r="G178" s="536"/>
      <c r="H178" s="536"/>
      <c r="I178" s="536"/>
      <c r="J178" s="536"/>
      <c r="K178" s="536"/>
      <c r="L178" s="536"/>
      <c r="M178" s="536"/>
      <c r="N178" s="536"/>
      <c r="O178" s="536"/>
      <c r="P178" s="536"/>
      <c r="Q178" s="536"/>
      <c r="R178" s="536"/>
      <c r="S178" s="536"/>
      <c r="T178" s="536"/>
      <c r="U178" s="536"/>
      <c r="V178" s="536"/>
      <c r="W178" s="536"/>
      <c r="X178" s="536"/>
      <c r="Y178" s="536"/>
      <c r="Z178" s="536"/>
      <c r="AA178" s="536"/>
      <c r="AB178" s="536"/>
      <c r="AC178" s="536"/>
      <c r="AD178" s="536"/>
      <c r="AE178" s="536"/>
      <c r="AF178" s="536"/>
      <c r="AG178" s="536"/>
      <c r="AH178" s="536"/>
      <c r="AI178" s="536"/>
      <c r="AJ178" s="536"/>
      <c r="AK178" s="536"/>
      <c r="AL178" s="536"/>
      <c r="AM178" s="536"/>
      <c r="AN178" s="536"/>
      <c r="AO178" s="536"/>
      <c r="AP178" s="536"/>
      <c r="AQ178" s="536">
        <f>SUM(AQ171:AQ177)</f>
        <v>1201854536.3026514</v>
      </c>
      <c r="AR178" s="536"/>
      <c r="AS178" s="536"/>
      <c r="AT178" s="536"/>
      <c r="AU178" s="536"/>
      <c r="AV178" s="536"/>
      <c r="AW178" s="536"/>
      <c r="AX178" s="536"/>
      <c r="AY178" s="536"/>
      <c r="AZ178" s="536"/>
      <c r="BA178" s="536"/>
      <c r="BB178" s="536"/>
      <c r="BC178" s="536"/>
      <c r="BD178" s="536">
        <f>SUM(BD171:BD177)</f>
        <v>1435324368.4652236</v>
      </c>
      <c r="BE178" s="536">
        <f>SUM(BE171:BE177)</f>
        <v>100948195.51133607</v>
      </c>
      <c r="BF178" s="536">
        <f t="shared" ref="BF178" si="476">SUM(BF171:BF177)</f>
        <v>123015421.95098813</v>
      </c>
      <c r="BG178" s="536">
        <f t="shared" ref="BG178" si="477">SUM(BG171:BG177)</f>
        <v>123013164.83098812</v>
      </c>
      <c r="BH178" s="536">
        <f t="shared" ref="BH178" si="478">SUM(BH171:BH177)</f>
        <v>122999664.83098812</v>
      </c>
      <c r="BI178" s="536">
        <f t="shared" ref="BI178" si="479">SUM(BI171:BI177)</f>
        <v>123013877.42618813</v>
      </c>
      <c r="BJ178" s="536">
        <f t="shared" ref="BJ178" si="480">SUM(BJ171:BJ177)</f>
        <v>123012377.42618813</v>
      </c>
      <c r="BK178" s="536">
        <f t="shared" ref="BK178" si="481">SUM(BK171:BK177)</f>
        <v>122998058.52519612</v>
      </c>
      <c r="BL178" s="536">
        <f t="shared" ref="BL178" si="482">SUM(BL171:BL177)</f>
        <v>123013058.52519612</v>
      </c>
      <c r="BM178" s="536">
        <f t="shared" ref="BM178" si="483">SUM(BM171:BM177)</f>
        <v>123010706.86816448</v>
      </c>
      <c r="BN178" s="536">
        <f t="shared" ref="BN178" si="484">SUM(BN171:BN177)</f>
        <v>122992206.86816444</v>
      </c>
      <c r="BO178" s="536">
        <f t="shared" ref="BO178" si="485">SUM(BO171:BO177)</f>
        <v>123011321.14485151</v>
      </c>
      <c r="BP178" s="536">
        <f t="shared" ref="BP178" si="486">SUM(BP171:BP177)</f>
        <v>123009821.14485151</v>
      </c>
      <c r="BQ178" s="536"/>
      <c r="BR178" s="536">
        <f>SUM(BR171:BR177)</f>
        <v>121666470.29568601</v>
      </c>
      <c r="BS178" s="536">
        <f t="shared" ref="BS178" si="487">SUM(BS171:BS177)</f>
        <v>122995727.85069233</v>
      </c>
      <c r="BT178" s="536">
        <f t="shared" ref="BT178" si="488">SUM(BT171:BT177)</f>
        <v>122994227.85069233</v>
      </c>
      <c r="BU178" s="536">
        <f t="shared" ref="BU178" si="489">SUM(BU171:BU177)</f>
        <v>122980727.85069233</v>
      </c>
      <c r="BV178" s="536">
        <f t="shared" ref="BV178" si="490">SUM(BV171:BV177)</f>
        <v>122995727.85069233</v>
      </c>
      <c r="BW178" s="536">
        <f t="shared" ref="BW178" si="491">SUM(BW171:BW177)</f>
        <v>122994227.85069233</v>
      </c>
      <c r="BX178" s="536">
        <f t="shared" ref="BX178" si="492">SUM(BX171:BX177)</f>
        <v>122980727.85069233</v>
      </c>
      <c r="BY178" s="536">
        <f t="shared" ref="BY178" si="493">SUM(BY171:BY177)</f>
        <v>122995727.85069233</v>
      </c>
      <c r="BZ178" s="536">
        <f t="shared" ref="BZ178" si="494">SUM(BZ171:BZ177)</f>
        <v>122994227.85069233</v>
      </c>
      <c r="CA178" s="536">
        <f t="shared" ref="CA178" si="495">SUM(CA171:CA177)</f>
        <v>122975727.85069233</v>
      </c>
      <c r="CB178" s="536">
        <f t="shared" ref="CB178" si="496">SUM(CB171:CB177)</f>
        <v>122995727.85069233</v>
      </c>
      <c r="CC178" s="536">
        <f t="shared" ref="CC178" si="497">SUM(CC171:CC177)</f>
        <v>122994227.85069233</v>
      </c>
      <c r="CD178" s="536"/>
      <c r="CE178" s="536"/>
      <c r="CF178" s="536"/>
      <c r="CG178" s="536"/>
      <c r="CH178" s="536"/>
      <c r="CI178" s="536"/>
      <c r="CJ178" s="536"/>
      <c r="CK178" s="536"/>
      <c r="CL178" s="536"/>
      <c r="CM178" s="536"/>
      <c r="CN178" s="536"/>
      <c r="CO178" s="536"/>
      <c r="CP178" s="536"/>
      <c r="CQ178" s="536"/>
      <c r="CR178" s="49"/>
      <c r="CS178" s="49"/>
      <c r="CT178" s="49"/>
      <c r="CU178" s="49"/>
      <c r="CV178" s="49"/>
      <c r="CW178" s="49"/>
      <c r="CX178" s="49"/>
      <c r="CY178" s="49"/>
      <c r="CZ178" s="49"/>
      <c r="DA178" s="49"/>
      <c r="DB178" s="49"/>
      <c r="DC178" s="49"/>
    </row>
    <row r="179" spans="1:117" ht="14.25" customHeight="1" thickBot="1" x14ac:dyDescent="0.45">
      <c r="A179" s="94"/>
      <c r="B179" s="116" t="s">
        <v>175</v>
      </c>
      <c r="C179" s="581">
        <f>SUM(E179:CQ179)-Q179-AD179-AQ179-BD179-BQ179-CD179-CQ179</f>
        <v>7110120152.6295567</v>
      </c>
      <c r="D179" s="116"/>
      <c r="E179" s="537">
        <f>SUM(E171:E177)</f>
        <v>0</v>
      </c>
      <c r="F179" s="537">
        <f t="shared" ref="F179:BQ179" si="498">SUM(F171:F177)</f>
        <v>0</v>
      </c>
      <c r="G179" s="537">
        <f t="shared" si="498"/>
        <v>0</v>
      </c>
      <c r="H179" s="537">
        <f t="shared" si="498"/>
        <v>0</v>
      </c>
      <c r="I179" s="537">
        <f t="shared" si="498"/>
        <v>0</v>
      </c>
      <c r="J179" s="537">
        <f t="shared" si="498"/>
        <v>0</v>
      </c>
      <c r="K179" s="537">
        <f t="shared" si="498"/>
        <v>0</v>
      </c>
      <c r="L179" s="537">
        <f t="shared" si="498"/>
        <v>0</v>
      </c>
      <c r="M179" s="537">
        <f t="shared" si="498"/>
        <v>0</v>
      </c>
      <c r="N179" s="537">
        <f t="shared" si="498"/>
        <v>0</v>
      </c>
      <c r="O179" s="537">
        <f t="shared" si="498"/>
        <v>0</v>
      </c>
      <c r="P179" s="537">
        <f t="shared" si="498"/>
        <v>0</v>
      </c>
      <c r="Q179" s="560">
        <f t="shared" si="498"/>
        <v>0</v>
      </c>
      <c r="R179" s="537">
        <f t="shared" si="498"/>
        <v>0</v>
      </c>
      <c r="S179" s="537">
        <f t="shared" si="498"/>
        <v>0</v>
      </c>
      <c r="T179" s="537">
        <f t="shared" si="498"/>
        <v>0</v>
      </c>
      <c r="U179" s="537">
        <f t="shared" si="498"/>
        <v>0</v>
      </c>
      <c r="V179" s="537">
        <f t="shared" si="498"/>
        <v>0</v>
      </c>
      <c r="W179" s="537">
        <f t="shared" si="498"/>
        <v>0</v>
      </c>
      <c r="X179" s="537">
        <f t="shared" si="498"/>
        <v>0</v>
      </c>
      <c r="Y179" s="537">
        <f t="shared" si="498"/>
        <v>0</v>
      </c>
      <c r="Z179" s="537">
        <f t="shared" si="498"/>
        <v>0</v>
      </c>
      <c r="AA179" s="537">
        <f t="shared" si="498"/>
        <v>0</v>
      </c>
      <c r="AB179" s="537">
        <f t="shared" si="498"/>
        <v>0</v>
      </c>
      <c r="AC179" s="537">
        <f t="shared" si="498"/>
        <v>0</v>
      </c>
      <c r="AD179" s="560">
        <f t="shared" si="498"/>
        <v>0</v>
      </c>
      <c r="AE179" s="537">
        <f t="shared" si="498"/>
        <v>37138502.244636446</v>
      </c>
      <c r="AF179" s="537">
        <f t="shared" si="498"/>
        <v>80108706.625777423</v>
      </c>
      <c r="AG179" s="537">
        <f t="shared" si="498"/>
        <v>75412749.731053963</v>
      </c>
      <c r="AH179" s="537">
        <f t="shared" si="498"/>
        <v>64403789.253036261</v>
      </c>
      <c r="AI179" s="537">
        <f t="shared" si="498"/>
        <v>102123317.64831282</v>
      </c>
      <c r="AJ179" s="537">
        <f t="shared" si="498"/>
        <v>111614976.29358938</v>
      </c>
      <c r="AK179" s="537">
        <f t="shared" si="498"/>
        <v>117642554.86886592</v>
      </c>
      <c r="AL179" s="537">
        <f t="shared" si="498"/>
        <v>121238891.5274758</v>
      </c>
      <c r="AM179" s="537">
        <f t="shared" si="498"/>
        <v>123047012.02747582</v>
      </c>
      <c r="AN179" s="537">
        <f t="shared" si="498"/>
        <v>123028512.02747582</v>
      </c>
      <c r="AO179" s="537">
        <f t="shared" si="498"/>
        <v>123048512.02747582</v>
      </c>
      <c r="AP179" s="537">
        <f t="shared" si="498"/>
        <v>123047012.02747582</v>
      </c>
      <c r="AQ179" s="560">
        <f t="shared" si="498"/>
        <v>1201854536.3026514</v>
      </c>
      <c r="AR179" s="537">
        <f t="shared" si="498"/>
        <v>82042310.10483481</v>
      </c>
      <c r="AS179" s="537">
        <f t="shared" si="498"/>
        <v>123030732.57821716</v>
      </c>
      <c r="AT179" s="537">
        <f t="shared" si="498"/>
        <v>123029232.57821716</v>
      </c>
      <c r="AU179" s="537">
        <f t="shared" si="498"/>
        <v>123015732.57821716</v>
      </c>
      <c r="AV179" s="537">
        <f t="shared" si="498"/>
        <v>123030732.57821716</v>
      </c>
      <c r="AW179" s="537">
        <f t="shared" si="498"/>
        <v>123029232.57821716</v>
      </c>
      <c r="AX179" s="537">
        <f t="shared" si="498"/>
        <v>123015732.57821716</v>
      </c>
      <c r="AY179" s="537">
        <f t="shared" si="498"/>
        <v>123030732.57821716</v>
      </c>
      <c r="AZ179" s="537">
        <f t="shared" si="498"/>
        <v>123029232.57821715</v>
      </c>
      <c r="BA179" s="537">
        <f t="shared" si="498"/>
        <v>123010732.57821715</v>
      </c>
      <c r="BB179" s="537">
        <f t="shared" si="498"/>
        <v>123030732.57821715</v>
      </c>
      <c r="BC179" s="537">
        <f t="shared" si="498"/>
        <v>123029232.57821715</v>
      </c>
      <c r="BD179" s="560">
        <f t="shared" si="498"/>
        <v>1435324368.4652236</v>
      </c>
      <c r="BE179" s="537">
        <f t="shared" si="498"/>
        <v>100948195.51133607</v>
      </c>
      <c r="BF179" s="537">
        <f t="shared" si="498"/>
        <v>123015421.95098813</v>
      </c>
      <c r="BG179" s="537">
        <f t="shared" si="498"/>
        <v>123013164.83098812</v>
      </c>
      <c r="BH179" s="537">
        <f t="shared" si="498"/>
        <v>122999664.83098812</v>
      </c>
      <c r="BI179" s="537">
        <f t="shared" si="498"/>
        <v>123013877.42618813</v>
      </c>
      <c r="BJ179" s="537">
        <f t="shared" si="498"/>
        <v>123012377.42618813</v>
      </c>
      <c r="BK179" s="537">
        <f t="shared" si="498"/>
        <v>122998058.52519612</v>
      </c>
      <c r="BL179" s="537">
        <f t="shared" si="498"/>
        <v>123013058.52519612</v>
      </c>
      <c r="BM179" s="537">
        <f t="shared" si="498"/>
        <v>123010706.86816448</v>
      </c>
      <c r="BN179" s="537">
        <f t="shared" si="498"/>
        <v>122992206.86816444</v>
      </c>
      <c r="BO179" s="537">
        <f t="shared" si="498"/>
        <v>123011321.14485151</v>
      </c>
      <c r="BP179" s="537">
        <f t="shared" si="498"/>
        <v>123009821.14485151</v>
      </c>
      <c r="BQ179" s="560">
        <f t="shared" si="498"/>
        <v>1454037875.0531008</v>
      </c>
      <c r="BR179" s="537">
        <f t="shared" ref="BR179:CE179" si="499">SUM(BR171:BR177)</f>
        <v>121666470.29568601</v>
      </c>
      <c r="BS179" s="537">
        <f t="shared" si="499"/>
        <v>122995727.85069233</v>
      </c>
      <c r="BT179" s="537">
        <f t="shared" si="499"/>
        <v>122994227.85069233</v>
      </c>
      <c r="BU179" s="537">
        <f t="shared" si="499"/>
        <v>122980727.85069233</v>
      </c>
      <c r="BV179" s="537">
        <f t="shared" si="499"/>
        <v>122995727.85069233</v>
      </c>
      <c r="BW179" s="537">
        <f t="shared" si="499"/>
        <v>122994227.85069233</v>
      </c>
      <c r="BX179" s="537">
        <f t="shared" si="499"/>
        <v>122980727.85069233</v>
      </c>
      <c r="BY179" s="537">
        <f t="shared" si="499"/>
        <v>122995727.85069233</v>
      </c>
      <c r="BZ179" s="537">
        <f t="shared" si="499"/>
        <v>122994227.85069233</v>
      </c>
      <c r="CA179" s="537">
        <f t="shared" si="499"/>
        <v>122975727.85069233</v>
      </c>
      <c r="CB179" s="537">
        <f t="shared" si="499"/>
        <v>122995727.85069233</v>
      </c>
      <c r="CC179" s="537">
        <f t="shared" si="499"/>
        <v>122994227.85069233</v>
      </c>
      <c r="CD179" s="560">
        <f t="shared" si="499"/>
        <v>1474563476.6533017</v>
      </c>
      <c r="CE179" s="537">
        <f t="shared" si="499"/>
        <v>142406635.7510767</v>
      </c>
      <c r="CF179" s="537">
        <f t="shared" ref="CF179:CP179" si="500">SUM(CF171:CF177)</f>
        <v>127675044.13265887</v>
      </c>
      <c r="CG179" s="537">
        <f t="shared" si="500"/>
        <v>127708752.63589612</v>
      </c>
      <c r="CH179" s="537">
        <f t="shared" si="500"/>
        <v>127730725.20290762</v>
      </c>
      <c r="CI179" s="537">
        <f t="shared" si="500"/>
        <v>127781463.81417167</v>
      </c>
      <c r="CJ179" s="537">
        <f t="shared" si="500"/>
        <v>127815970.46502027</v>
      </c>
      <c r="CK179" s="537">
        <f t="shared" si="500"/>
        <v>127838747.16575021</v>
      </c>
      <c r="CL179" s="537">
        <f t="shared" si="500"/>
        <v>127890295.9417356</v>
      </c>
      <c r="CM179" s="537">
        <f t="shared" si="500"/>
        <v>127925618.83354092</v>
      </c>
      <c r="CN179" s="537">
        <f t="shared" si="500"/>
        <v>127944217.89703473</v>
      </c>
      <c r="CO179" s="537">
        <f t="shared" si="500"/>
        <v>128001595.20350483</v>
      </c>
      <c r="CP179" s="555">
        <f t="shared" si="500"/>
        <v>123620829.11197899</v>
      </c>
      <c r="CQ179" s="537">
        <f t="shared" ref="CQ179" si="501">SUM(CQ171:CQ177)</f>
        <v>1544339896.1552768</v>
      </c>
      <c r="CR179" s="116"/>
      <c r="CS179" s="116"/>
      <c r="CT179" s="116"/>
      <c r="CU179" s="116"/>
      <c r="CV179" s="116"/>
      <c r="CW179" s="116"/>
      <c r="CX179" s="116"/>
      <c r="CY179" s="116"/>
      <c r="CZ179" s="116"/>
      <c r="DA179" s="116"/>
      <c r="DB179" s="116"/>
      <c r="DC179" s="116"/>
      <c r="DD179" s="110"/>
      <c r="DE179" s="110"/>
      <c r="DF179" s="110"/>
      <c r="DG179" s="110"/>
      <c r="DH179" s="110"/>
      <c r="DI179" s="110"/>
      <c r="DJ179" s="110"/>
      <c r="DK179" s="110"/>
    </row>
    <row r="180" spans="1:117" ht="14.25" customHeight="1" x14ac:dyDescent="0.4">
      <c r="A180" s="94"/>
      <c r="B180" s="49"/>
      <c r="C180" s="88"/>
      <c r="D180" s="49"/>
      <c r="E180" s="49"/>
      <c r="F180" s="49"/>
      <c r="G180" s="49"/>
      <c r="H180" s="49"/>
      <c r="I180" s="49"/>
      <c r="J180" s="49"/>
      <c r="K180" s="49"/>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c r="AM180" s="49"/>
      <c r="AN180" s="49"/>
      <c r="AO180" s="49"/>
      <c r="AP180" s="49"/>
      <c r="AQ180" s="49"/>
      <c r="AR180" s="49"/>
      <c r="AS180" s="49"/>
      <c r="AT180" s="49"/>
      <c r="AU180" s="49"/>
      <c r="AV180" s="49"/>
      <c r="AW180" s="49"/>
      <c r="AX180" s="49"/>
      <c r="AY180" s="49"/>
      <c r="AZ180" s="49"/>
      <c r="BA180" s="49"/>
      <c r="BB180" s="49"/>
      <c r="BC180" s="49"/>
      <c r="BD180" s="49"/>
      <c r="BE180" s="49"/>
      <c r="BF180" s="49"/>
      <c r="BG180" s="49"/>
      <c r="BH180" s="49"/>
      <c r="BI180" s="49"/>
      <c r="BJ180" s="49"/>
      <c r="BK180" s="49"/>
      <c r="BL180" s="49"/>
      <c r="BM180" s="49"/>
      <c r="BN180" s="49"/>
      <c r="BO180" s="49"/>
      <c r="BP180" s="49"/>
      <c r="BQ180" s="49"/>
      <c r="BR180" s="49"/>
      <c r="BS180" s="49"/>
      <c r="BT180" s="49"/>
      <c r="BU180" s="49"/>
      <c r="BV180" s="49"/>
      <c r="BW180" s="49"/>
      <c r="BX180" s="49"/>
      <c r="BY180" s="49"/>
      <c r="BZ180" s="49"/>
      <c r="CA180" s="49"/>
      <c r="CB180" s="49"/>
      <c r="CC180" s="49"/>
      <c r="CD180" s="49"/>
      <c r="CE180" s="49"/>
      <c r="CF180" s="49"/>
      <c r="CG180" s="49"/>
      <c r="CH180" s="49"/>
      <c r="CI180" s="49"/>
      <c r="CJ180" s="49"/>
      <c r="CK180" s="49"/>
      <c r="CL180" s="49"/>
      <c r="CM180" s="49"/>
      <c r="CN180" s="49"/>
      <c r="CO180" s="49"/>
      <c r="CP180" s="39"/>
      <c r="CQ180" s="49"/>
      <c r="CR180" s="49"/>
      <c r="CS180" s="49"/>
      <c r="CT180" s="49"/>
      <c r="CU180" s="49"/>
      <c r="CV180" s="49"/>
      <c r="CW180" s="49"/>
      <c r="CX180" s="49"/>
      <c r="CY180" s="49"/>
      <c r="CZ180" s="49"/>
      <c r="DA180" s="49"/>
      <c r="DB180" s="49"/>
      <c r="DC180" s="49"/>
      <c r="DD180" s="39"/>
      <c r="DE180" s="39"/>
      <c r="DF180" s="39"/>
      <c r="DG180" s="39"/>
      <c r="DH180" s="39"/>
      <c r="DI180" s="39"/>
      <c r="DJ180" s="39"/>
      <c r="DK180" s="39"/>
    </row>
    <row r="181" spans="1:117" ht="14.25" customHeight="1" x14ac:dyDescent="0.4">
      <c r="A181" s="94"/>
      <c r="B181" s="24" t="s">
        <v>659</v>
      </c>
      <c r="C181" s="578"/>
      <c r="D181" s="49"/>
      <c r="E181" s="49">
        <f t="shared" ref="E181:AD181" si="502">E166-E179</f>
        <v>191974117.58333334</v>
      </c>
      <c r="F181" s="49">
        <f t="shared" si="502"/>
        <v>189015964.16666669</v>
      </c>
      <c r="G181" s="49">
        <f t="shared" si="502"/>
        <v>340173328.25</v>
      </c>
      <c r="H181" s="49">
        <f t="shared" si="502"/>
        <v>356747096.13333333</v>
      </c>
      <c r="I181" s="49">
        <f t="shared" si="502"/>
        <v>345524724.33266664</v>
      </c>
      <c r="J181" s="49">
        <f t="shared" si="502"/>
        <v>334460370.26599997</v>
      </c>
      <c r="K181" s="49">
        <f t="shared" si="502"/>
        <v>346061732.88599998</v>
      </c>
      <c r="L181" s="49">
        <f t="shared" si="502"/>
        <v>331705925.96944392</v>
      </c>
      <c r="M181" s="49">
        <f t="shared" si="502"/>
        <v>313263737.73288786</v>
      </c>
      <c r="N181" s="49">
        <f t="shared" si="502"/>
        <v>293146180.80149776</v>
      </c>
      <c r="O181" s="49">
        <f t="shared" si="502"/>
        <v>266024574.02677432</v>
      </c>
      <c r="P181" s="49">
        <f t="shared" si="502"/>
        <v>240141018.22066075</v>
      </c>
      <c r="Q181" s="49">
        <f t="shared" si="502"/>
        <v>240141018.22066075</v>
      </c>
      <c r="R181" s="49">
        <f t="shared" si="502"/>
        <v>192990554.81788051</v>
      </c>
      <c r="S181" s="49">
        <f t="shared" si="502"/>
        <v>149594397.99176693</v>
      </c>
      <c r="T181" s="49">
        <f t="shared" si="502"/>
        <v>110465795.28092991</v>
      </c>
      <c r="U181" s="49">
        <f t="shared" si="502"/>
        <v>78480815.525369436</v>
      </c>
      <c r="V181" s="49">
        <f t="shared" si="502"/>
        <v>52584510.385085501</v>
      </c>
      <c r="W181" s="49">
        <f t="shared" si="502"/>
        <v>33823078.200078115</v>
      </c>
      <c r="X181" s="49">
        <f t="shared" si="502"/>
        <v>21129570.630347274</v>
      </c>
      <c r="Y181" s="49">
        <f t="shared" si="502"/>
        <v>15595936.015892982</v>
      </c>
      <c r="Z181" s="49">
        <f t="shared" si="502"/>
        <v>16137226.016715243</v>
      </c>
      <c r="AA181" s="49">
        <f t="shared" si="502"/>
        <v>23814888.972814061</v>
      </c>
      <c r="AB181" s="49">
        <f t="shared" si="502"/>
        <v>37583976.544189416</v>
      </c>
      <c r="AC181" s="49">
        <f t="shared" si="502"/>
        <v>58501437.07084132</v>
      </c>
      <c r="AD181" s="49">
        <f t="shared" si="502"/>
        <v>58501437.07084132</v>
      </c>
      <c r="AE181" s="49">
        <f t="shared" ref="AE181:AO181" si="503">AE166-AE179</f>
        <v>25500000</v>
      </c>
      <c r="AF181" s="49">
        <f t="shared" si="503"/>
        <v>25500000</v>
      </c>
      <c r="AG181" s="49">
        <f t="shared" si="503"/>
        <v>25500000</v>
      </c>
      <c r="AH181" s="49">
        <f t="shared" si="503"/>
        <v>25500000</v>
      </c>
      <c r="AI181" s="49">
        <f t="shared" si="503"/>
        <v>25500000</v>
      </c>
      <c r="AJ181" s="49">
        <f t="shared" si="503"/>
        <v>25500000</v>
      </c>
      <c r="AK181" s="49">
        <f t="shared" si="503"/>
        <v>25499999.999999985</v>
      </c>
      <c r="AL181" s="49">
        <f t="shared" si="503"/>
        <v>25500000</v>
      </c>
      <c r="AM181" s="49">
        <f t="shared" si="503"/>
        <v>25499999.999999985</v>
      </c>
      <c r="AN181" s="49">
        <f t="shared" si="503"/>
        <v>25499999.999999985</v>
      </c>
      <c r="AO181" s="49">
        <f t="shared" si="503"/>
        <v>25499999.999999985</v>
      </c>
      <c r="AP181" s="49">
        <f>AP166-AP179</f>
        <v>25499999.999999985</v>
      </c>
      <c r="AQ181" s="49">
        <f>AP181</f>
        <v>25499999.999999985</v>
      </c>
      <c r="AR181" s="49">
        <f t="shared" ref="AR181:BC181" si="504">AR166-AR179</f>
        <v>66462422.473382309</v>
      </c>
      <c r="AS181" s="49">
        <f t="shared" si="504"/>
        <v>66462422.473382309</v>
      </c>
      <c r="AT181" s="49">
        <f t="shared" si="504"/>
        <v>66462422.473382309</v>
      </c>
      <c r="AU181" s="49">
        <f t="shared" si="504"/>
        <v>66462422.473382309</v>
      </c>
      <c r="AV181" s="49">
        <f t="shared" si="504"/>
        <v>66462422.473382309</v>
      </c>
      <c r="AW181" s="49">
        <f t="shared" si="504"/>
        <v>66462422.473382309</v>
      </c>
      <c r="AX181" s="49">
        <f t="shared" si="504"/>
        <v>66462422.473382309</v>
      </c>
      <c r="AY181" s="49">
        <f t="shared" si="504"/>
        <v>66462422.473382309</v>
      </c>
      <c r="AZ181" s="49">
        <f t="shared" si="504"/>
        <v>66462422.473382324</v>
      </c>
      <c r="BA181" s="49">
        <f t="shared" si="504"/>
        <v>66462422.473382324</v>
      </c>
      <c r="BB181" s="49">
        <f t="shared" si="504"/>
        <v>66462422.473382324</v>
      </c>
      <c r="BC181" s="49">
        <f t="shared" si="504"/>
        <v>66462422.473382324</v>
      </c>
      <c r="BD181" s="49">
        <f>BC181</f>
        <v>66462422.473382324</v>
      </c>
      <c r="BE181" s="49">
        <f t="shared" ref="BE181:CP181" si="505">BE166-BE179</f>
        <v>88503648.913034365</v>
      </c>
      <c r="BF181" s="49">
        <f t="shared" si="505"/>
        <v>88503648.913034365</v>
      </c>
      <c r="BG181" s="49">
        <f t="shared" si="505"/>
        <v>88503648.913034365</v>
      </c>
      <c r="BH181" s="49">
        <f t="shared" si="505"/>
        <v>88503648.913034365</v>
      </c>
      <c r="BI181" s="49">
        <f t="shared" si="505"/>
        <v>88503648.913034365</v>
      </c>
      <c r="BJ181" s="49">
        <f t="shared" si="505"/>
        <v>88503648.913034365</v>
      </c>
      <c r="BK181" s="49">
        <f t="shared" si="505"/>
        <v>88503648.913034365</v>
      </c>
      <c r="BL181" s="49">
        <f t="shared" si="505"/>
        <v>88503648.913034365</v>
      </c>
      <c r="BM181" s="49">
        <f t="shared" si="505"/>
        <v>88503648.91303435</v>
      </c>
      <c r="BN181" s="49">
        <f t="shared" si="505"/>
        <v>88503648.913034365</v>
      </c>
      <c r="BO181" s="49">
        <f t="shared" si="505"/>
        <v>88503648.91303435</v>
      </c>
      <c r="BP181" s="49">
        <f t="shared" si="505"/>
        <v>88503648.91303435</v>
      </c>
      <c r="BQ181" s="49">
        <f>BP181</f>
        <v>88503648.91303435</v>
      </c>
      <c r="BR181" s="49">
        <f t="shared" si="505"/>
        <v>89806906.468040675</v>
      </c>
      <c r="BS181" s="49">
        <f t="shared" si="505"/>
        <v>89806906.468040675</v>
      </c>
      <c r="BT181" s="49">
        <f t="shared" si="505"/>
        <v>89806906.468040675</v>
      </c>
      <c r="BU181" s="49">
        <f t="shared" si="505"/>
        <v>89806906.468040675</v>
      </c>
      <c r="BV181" s="49">
        <f t="shared" si="505"/>
        <v>89806906.468040675</v>
      </c>
      <c r="BW181" s="49">
        <f t="shared" si="505"/>
        <v>89806906.468040675</v>
      </c>
      <c r="BX181" s="49">
        <f t="shared" si="505"/>
        <v>89806906.468040675</v>
      </c>
      <c r="BY181" s="49">
        <f t="shared" si="505"/>
        <v>89806906.468040675</v>
      </c>
      <c r="BZ181" s="49">
        <f t="shared" si="505"/>
        <v>89806906.468040675</v>
      </c>
      <c r="CA181" s="49">
        <f t="shared" si="505"/>
        <v>89806906.468040675</v>
      </c>
      <c r="CB181" s="49">
        <f t="shared" si="505"/>
        <v>89806906.468040675</v>
      </c>
      <c r="CC181" s="49">
        <f t="shared" si="505"/>
        <v>89806906.468040675</v>
      </c>
      <c r="CD181" s="49">
        <f>CC181</f>
        <v>89806906.468040675</v>
      </c>
      <c r="CE181" s="49">
        <f t="shared" si="505"/>
        <v>70354847.751326293</v>
      </c>
      <c r="CF181" s="49">
        <f t="shared" si="505"/>
        <v>65660380.65302974</v>
      </c>
      <c r="CG181" s="49">
        <f t="shared" si="505"/>
        <v>60930705.051495969</v>
      </c>
      <c r="CH181" s="49">
        <f t="shared" si="505"/>
        <v>56165556.882950693</v>
      </c>
      <c r="CI181" s="49">
        <f t="shared" si="505"/>
        <v>51364670.103141338</v>
      </c>
      <c r="CJ181" s="49">
        <f t="shared" si="505"/>
        <v>46527776.672483385</v>
      </c>
      <c r="CK181" s="49">
        <f t="shared" si="505"/>
        <v>41654606.541095525</v>
      </c>
      <c r="CL181" s="49">
        <f t="shared" si="505"/>
        <v>36744887.633722246</v>
      </c>
      <c r="CM181" s="49">
        <f t="shared" si="505"/>
        <v>31798345.834543675</v>
      </c>
      <c r="CN181" s="49">
        <f t="shared" si="505"/>
        <v>26814704.971871257</v>
      </c>
      <c r="CO181" s="49">
        <f t="shared" si="505"/>
        <v>21793686.802728772</v>
      </c>
      <c r="CP181" s="39">
        <f t="shared" si="505"/>
        <v>14999999.999999985</v>
      </c>
      <c r="CQ181" s="49">
        <f>CP181</f>
        <v>14999999.999999985</v>
      </c>
      <c r="CR181" s="49"/>
      <c r="CS181" s="49"/>
      <c r="CT181" s="49"/>
      <c r="CU181" s="49"/>
      <c r="CV181" s="49"/>
      <c r="CW181" s="49"/>
      <c r="CX181" s="49"/>
      <c r="CY181" s="49"/>
      <c r="CZ181" s="49"/>
      <c r="DA181" s="49"/>
      <c r="DB181" s="49"/>
      <c r="DC181" s="24"/>
      <c r="DD181" s="24"/>
      <c r="DE181" s="24"/>
      <c r="DF181" s="24"/>
      <c r="DG181" s="24"/>
      <c r="DH181" s="24"/>
      <c r="DI181" s="24"/>
      <c r="DJ181" s="24"/>
      <c r="DK181" s="24"/>
    </row>
    <row r="182" spans="1:117" s="539" customFormat="1" ht="14.25" customHeight="1" x14ac:dyDescent="0.4">
      <c r="A182" s="94"/>
      <c r="B182" s="24" t="s">
        <v>627</v>
      </c>
      <c r="E182" s="539">
        <f>E21</f>
        <v>75000000</v>
      </c>
      <c r="F182" s="539">
        <f>E182+F21</f>
        <v>75000000</v>
      </c>
      <c r="G182" s="539">
        <f>F182+G21</f>
        <v>125000000</v>
      </c>
      <c r="H182" s="539">
        <f t="shared" ref="H182:AC182" si="506">G182+H21</f>
        <v>145000000</v>
      </c>
      <c r="I182" s="539">
        <f t="shared" si="506"/>
        <v>175000000</v>
      </c>
      <c r="J182" s="539">
        <f t="shared" si="506"/>
        <v>175000000</v>
      </c>
      <c r="K182" s="539">
        <f t="shared" si="506"/>
        <v>200000000</v>
      </c>
      <c r="L182" s="539">
        <f t="shared" si="506"/>
        <v>220000000</v>
      </c>
      <c r="M182" s="539">
        <f t="shared" si="506"/>
        <v>240000000</v>
      </c>
      <c r="N182" s="539">
        <f t="shared" si="506"/>
        <v>260000000</v>
      </c>
      <c r="O182" s="539">
        <f t="shared" si="506"/>
        <v>280000000</v>
      </c>
      <c r="P182" s="539">
        <f t="shared" si="506"/>
        <v>300000000</v>
      </c>
      <c r="Q182" s="542">
        <f>P182+P184</f>
        <v>313133333.33333331</v>
      </c>
      <c r="R182" s="539">
        <f>Q182</f>
        <v>313133333.33333331</v>
      </c>
      <c r="S182" s="539">
        <f t="shared" si="506"/>
        <v>313133333.33333331</v>
      </c>
      <c r="T182" s="539">
        <f t="shared" si="506"/>
        <v>313133333.33333331</v>
      </c>
      <c r="U182" s="539">
        <f t="shared" si="506"/>
        <v>313133333.33333331</v>
      </c>
      <c r="V182" s="539">
        <f t="shared" si="506"/>
        <v>313133333.33333331</v>
      </c>
      <c r="W182" s="539">
        <f t="shared" si="506"/>
        <v>313133333.33333331</v>
      </c>
      <c r="X182" s="539">
        <f t="shared" si="506"/>
        <v>313133333.33333331</v>
      </c>
      <c r="Y182" s="539">
        <f t="shared" si="506"/>
        <v>313133333.33333331</v>
      </c>
      <c r="Z182" s="539">
        <f t="shared" si="506"/>
        <v>313133333.33333331</v>
      </c>
      <c r="AA182" s="539">
        <f t="shared" si="506"/>
        <v>313133333.33333331</v>
      </c>
      <c r="AB182" s="539">
        <f t="shared" si="506"/>
        <v>313133333.33333331</v>
      </c>
      <c r="AC182" s="539">
        <f t="shared" si="506"/>
        <v>313133333.33333331</v>
      </c>
      <c r="AD182" s="542">
        <f>AC182</f>
        <v>313133333.33333331</v>
      </c>
      <c r="AE182" s="539">
        <f t="shared" ref="AE182" si="507">AD182+AD183</f>
        <v>338184000</v>
      </c>
      <c r="AF182" s="539">
        <f>AE182</f>
        <v>338184000</v>
      </c>
      <c r="AG182" s="539">
        <f t="shared" ref="AG182:AP182" si="508">AF182</f>
        <v>338184000</v>
      </c>
      <c r="AH182" s="539">
        <f t="shared" si="508"/>
        <v>338184000</v>
      </c>
      <c r="AI182" s="539">
        <f t="shared" si="508"/>
        <v>338184000</v>
      </c>
      <c r="AJ182" s="539">
        <f t="shared" si="508"/>
        <v>338184000</v>
      </c>
      <c r="AK182" s="539">
        <f t="shared" si="508"/>
        <v>338184000</v>
      </c>
      <c r="AL182" s="539">
        <f t="shared" si="508"/>
        <v>338184000</v>
      </c>
      <c r="AM182" s="539">
        <f t="shared" si="508"/>
        <v>338184000</v>
      </c>
      <c r="AN182" s="539">
        <f t="shared" si="508"/>
        <v>338184000</v>
      </c>
      <c r="AO182" s="539">
        <f t="shared" si="508"/>
        <v>338184000</v>
      </c>
      <c r="AP182" s="539">
        <f t="shared" si="508"/>
        <v>338184000</v>
      </c>
      <c r="AQ182" s="542">
        <f>AP182</f>
        <v>338184000</v>
      </c>
      <c r="AR182" s="539">
        <f>AQ185</f>
        <v>363412838.62798846</v>
      </c>
      <c r="AS182" s="539">
        <f>AR182</f>
        <v>363412838.62798846</v>
      </c>
      <c r="AT182" s="539">
        <f t="shared" ref="AT182:AY182" si="509">AS182</f>
        <v>363412838.62798846</v>
      </c>
      <c r="AU182" s="539">
        <f t="shared" si="509"/>
        <v>363412838.62798846</v>
      </c>
      <c r="AV182" s="539">
        <f t="shared" si="509"/>
        <v>363412838.62798846</v>
      </c>
      <c r="AW182" s="539">
        <f t="shared" si="509"/>
        <v>363412838.62798846</v>
      </c>
      <c r="AX182" s="539">
        <f t="shared" si="509"/>
        <v>363412838.62798846</v>
      </c>
      <c r="AY182" s="585">
        <f t="shared" si="509"/>
        <v>363412838.62798846</v>
      </c>
      <c r="BB182" s="585"/>
      <c r="BD182" s="542"/>
      <c r="BO182" s="585"/>
      <c r="BQ182" s="542"/>
      <c r="CD182" s="542"/>
      <c r="CP182" s="554"/>
    </row>
    <row r="183" spans="1:117" ht="14.25" customHeight="1" x14ac:dyDescent="0.4">
      <c r="A183" s="94"/>
      <c r="B183" s="24" t="s">
        <v>672</v>
      </c>
      <c r="C183" s="88"/>
      <c r="D183" s="49"/>
      <c r="E183" s="539"/>
      <c r="F183" s="539">
        <f>E182*0.08/12</f>
        <v>500000</v>
      </c>
      <c r="G183" s="539">
        <f>F182*0.08/12</f>
        <v>500000</v>
      </c>
      <c r="H183" s="539">
        <f>G182*0.08/12</f>
        <v>833333.33333333337</v>
      </c>
      <c r="I183" s="539">
        <f t="shared" ref="I183:O183" si="510">H182*0.08/12</f>
        <v>966666.66666666663</v>
      </c>
      <c r="J183" s="539">
        <f t="shared" si="510"/>
        <v>1166666.6666666667</v>
      </c>
      <c r="K183" s="539">
        <f t="shared" si="510"/>
        <v>1166666.6666666667</v>
      </c>
      <c r="L183" s="539">
        <f t="shared" si="510"/>
        <v>1333333.3333333333</v>
      </c>
      <c r="M183" s="539">
        <f t="shared" si="510"/>
        <v>1466666.6666666667</v>
      </c>
      <c r="N183" s="539">
        <f t="shared" si="510"/>
        <v>1600000</v>
      </c>
      <c r="O183" s="539">
        <f t="shared" si="510"/>
        <v>1733333.3333333333</v>
      </c>
      <c r="P183" s="539">
        <f>O182*0.08/12</f>
        <v>1866666.6666666667</v>
      </c>
      <c r="Q183" s="542">
        <f>SUM(E183:P183)</f>
        <v>13133333.333333334</v>
      </c>
      <c r="R183" s="539">
        <f>R182*0.08/12</f>
        <v>2087555.5555555553</v>
      </c>
      <c r="S183" s="539">
        <f t="shared" ref="S183:AE183" si="511">S182*0.08/12</f>
        <v>2087555.5555555553</v>
      </c>
      <c r="T183" s="539">
        <f t="shared" si="511"/>
        <v>2087555.5555555553</v>
      </c>
      <c r="U183" s="539">
        <f t="shared" si="511"/>
        <v>2087555.5555555553</v>
      </c>
      <c r="V183" s="539">
        <f t="shared" si="511"/>
        <v>2087555.5555555553</v>
      </c>
      <c r="W183" s="539">
        <f t="shared" si="511"/>
        <v>2087555.5555555553</v>
      </c>
      <c r="X183" s="539">
        <f t="shared" si="511"/>
        <v>2087555.5555555553</v>
      </c>
      <c r="Y183" s="539">
        <f t="shared" si="511"/>
        <v>2087555.5555555553</v>
      </c>
      <c r="Z183" s="539">
        <f t="shared" si="511"/>
        <v>2087555.5555555553</v>
      </c>
      <c r="AA183" s="539">
        <f t="shared" si="511"/>
        <v>2087555.5555555553</v>
      </c>
      <c r="AB183" s="539">
        <f t="shared" si="511"/>
        <v>2087555.5555555553</v>
      </c>
      <c r="AC183" s="539">
        <f t="shared" si="511"/>
        <v>2087555.5555555553</v>
      </c>
      <c r="AD183" s="542">
        <f>SUM(R183:AC183)</f>
        <v>25050666.666666668</v>
      </c>
      <c r="AE183" s="539">
        <f t="shared" si="511"/>
        <v>2254560</v>
      </c>
      <c r="AF183" s="539">
        <f>AE187*0.08/12</f>
        <v>2174515.8342537307</v>
      </c>
      <c r="AG183" s="539">
        <f t="shared" ref="AG183:AY183" si="512">AF187*0.08/12</f>
        <v>2079008.8832663679</v>
      </c>
      <c r="AH183" s="539">
        <f t="shared" si="512"/>
        <v>2104890.5921386364</v>
      </c>
      <c r="AI183" s="539">
        <f t="shared" si="512"/>
        <v>2147106.1349099516</v>
      </c>
      <c r="AJ183" s="539">
        <f t="shared" si="512"/>
        <v>2064858.1831174437</v>
      </c>
      <c r="AK183" s="539">
        <f t="shared" si="512"/>
        <v>2054325.2582063191</v>
      </c>
      <c r="AL183" s="539">
        <f t="shared" si="512"/>
        <v>2052590.1587749862</v>
      </c>
      <c r="AM183" s="539">
        <f t="shared" si="512"/>
        <v>2057067.4713207781</v>
      </c>
      <c r="AN183" s="539">
        <f t="shared" si="512"/>
        <v>2066152.4659829168</v>
      </c>
      <c r="AO183" s="539">
        <f t="shared" si="512"/>
        <v>2079974.1757561362</v>
      </c>
      <c r="AP183" s="539">
        <f t="shared" si="512"/>
        <v>2093789.4702611768</v>
      </c>
      <c r="AQ183" s="542">
        <f t="shared" ref="AQ183:AQ186" si="513">AP183</f>
        <v>2093789.4702611768</v>
      </c>
      <c r="AR183" s="539">
        <f t="shared" si="512"/>
        <v>2107751.906729585</v>
      </c>
      <c r="AS183" s="539">
        <f t="shared" si="512"/>
        <v>1911775.2722394054</v>
      </c>
      <c r="AT183" s="539">
        <f t="shared" si="512"/>
        <v>1609561.7653207651</v>
      </c>
      <c r="AU183" s="539">
        <f t="shared" si="512"/>
        <v>1305337.3416893345</v>
      </c>
      <c r="AV183" s="539">
        <f t="shared" si="512"/>
        <v>999119.31523369439</v>
      </c>
      <c r="AW183" s="539">
        <f t="shared" si="512"/>
        <v>690821.43526834983</v>
      </c>
      <c r="AX183" s="539">
        <f t="shared" si="512"/>
        <v>380472.07610323629</v>
      </c>
      <c r="AY183" s="585">
        <f t="shared" si="512"/>
        <v>68088.281210354966</v>
      </c>
      <c r="AZ183" s="539"/>
      <c r="BA183" s="539"/>
      <c r="BB183" s="539"/>
      <c r="BC183" s="539"/>
      <c r="BD183" s="542"/>
      <c r="BE183" s="539"/>
      <c r="BF183" s="539"/>
      <c r="BG183" s="539"/>
      <c r="BH183" s="539"/>
      <c r="BI183" s="539"/>
      <c r="BJ183" s="539"/>
      <c r="BK183" s="539"/>
      <c r="BL183" s="539"/>
      <c r="BM183" s="539"/>
      <c r="BN183" s="539"/>
      <c r="BO183" s="585"/>
      <c r="BP183" s="539"/>
      <c r="BQ183" s="542"/>
      <c r="BR183" s="539"/>
      <c r="BS183" s="539"/>
      <c r="BT183" s="539"/>
      <c r="BU183" s="539"/>
      <c r="BV183" s="539"/>
      <c r="BW183" s="539"/>
      <c r="BX183" s="539"/>
      <c r="BY183" s="539"/>
      <c r="BZ183" s="539"/>
      <c r="CA183" s="539"/>
      <c r="CB183" s="539"/>
      <c r="CC183" s="539"/>
      <c r="CD183" s="542"/>
      <c r="CE183" s="539"/>
      <c r="CF183" s="539"/>
      <c r="CG183" s="539"/>
      <c r="CH183" s="539"/>
      <c r="CI183" s="539"/>
      <c r="CJ183" s="539"/>
      <c r="CK183" s="539"/>
      <c r="CL183" s="539"/>
      <c r="CM183" s="539"/>
      <c r="CN183" s="539"/>
      <c r="CO183" s="539"/>
      <c r="CP183" s="554"/>
      <c r="CQ183" s="49"/>
      <c r="CR183" s="49"/>
      <c r="CS183" s="49"/>
      <c r="CT183" s="49"/>
      <c r="CU183" s="49"/>
      <c r="CV183" s="49"/>
      <c r="CW183" s="49"/>
      <c r="CX183" s="49"/>
      <c r="CY183" s="49"/>
      <c r="CZ183" s="49"/>
      <c r="DA183" s="49"/>
      <c r="DB183" s="49"/>
      <c r="DC183" s="24"/>
      <c r="DD183" s="24"/>
      <c r="DE183" s="24"/>
      <c r="DF183" s="24"/>
      <c r="DG183" s="24"/>
      <c r="DH183" s="24"/>
      <c r="DI183" s="24"/>
      <c r="DJ183" s="24"/>
      <c r="DK183" s="24"/>
    </row>
    <row r="184" spans="1:117" ht="14.25" customHeight="1" x14ac:dyDescent="0.4">
      <c r="A184" s="94"/>
      <c r="B184" s="24" t="s">
        <v>673</v>
      </c>
      <c r="C184" s="88"/>
      <c r="D184" s="49"/>
      <c r="E184" s="539"/>
      <c r="F184" s="539">
        <f>E184+F183</f>
        <v>500000</v>
      </c>
      <c r="G184" s="539">
        <f>F184+G183</f>
        <v>1000000</v>
      </c>
      <c r="H184" s="539">
        <f t="shared" ref="H184:P184" si="514">G184+H183</f>
        <v>1833333.3333333335</v>
      </c>
      <c r="I184" s="539">
        <f t="shared" si="514"/>
        <v>2800000</v>
      </c>
      <c r="J184" s="539">
        <f t="shared" si="514"/>
        <v>3966666.666666667</v>
      </c>
      <c r="K184" s="539">
        <f t="shared" si="514"/>
        <v>5133333.333333334</v>
      </c>
      <c r="L184" s="539">
        <f t="shared" si="514"/>
        <v>6466666.666666667</v>
      </c>
      <c r="M184" s="539">
        <f t="shared" si="514"/>
        <v>7933333.333333334</v>
      </c>
      <c r="N184" s="539">
        <f t="shared" si="514"/>
        <v>9533333.333333334</v>
      </c>
      <c r="O184" s="539">
        <f t="shared" si="514"/>
        <v>11266666.666666668</v>
      </c>
      <c r="P184" s="539">
        <f t="shared" si="514"/>
        <v>13133333.333333334</v>
      </c>
      <c r="Q184" s="542">
        <f>P184</f>
        <v>13133333.333333334</v>
      </c>
      <c r="R184" s="539">
        <f>R183</f>
        <v>2087555.5555555553</v>
      </c>
      <c r="S184" s="539">
        <f t="shared" ref="S184" si="515">R184+S183</f>
        <v>4175111.1111111105</v>
      </c>
      <c r="T184" s="539">
        <f t="shared" ref="T184" si="516">S184+T183</f>
        <v>6262666.666666666</v>
      </c>
      <c r="U184" s="539">
        <f t="shared" ref="U184" si="517">T184+U183</f>
        <v>8350222.2222222211</v>
      </c>
      <c r="V184" s="539">
        <f t="shared" ref="V184" si="518">U184+V183</f>
        <v>10437777.777777776</v>
      </c>
      <c r="W184" s="539">
        <f t="shared" ref="W184" si="519">V184+W183</f>
        <v>12525333.333333332</v>
      </c>
      <c r="X184" s="539">
        <f t="shared" ref="X184" si="520">W184+X183</f>
        <v>14612888.888888888</v>
      </c>
      <c r="Y184" s="539">
        <f t="shared" ref="Y184" si="521">X184+Y183</f>
        <v>16700444.444444444</v>
      </c>
      <c r="Z184" s="539">
        <f t="shared" ref="Z184" si="522">Y184+Z183</f>
        <v>18788000</v>
      </c>
      <c r="AA184" s="539">
        <f t="shared" ref="AA184" si="523">Z184+AA183</f>
        <v>20875555.555555556</v>
      </c>
      <c r="AB184" s="539">
        <f t="shared" ref="AB184" si="524">AA184+AB183</f>
        <v>22963111.111111112</v>
      </c>
      <c r="AC184" s="539">
        <f t="shared" ref="AC184" si="525">AB184+AC183</f>
        <v>25050666.666666668</v>
      </c>
      <c r="AD184" s="542"/>
      <c r="AE184" s="539">
        <f>AE183</f>
        <v>2254560</v>
      </c>
      <c r="AF184" s="539">
        <f t="shared" ref="AF184" si="526">AE184+AF183</f>
        <v>4429075.8342537303</v>
      </c>
      <c r="AG184" s="539">
        <f t="shared" ref="AG184" si="527">AF184+AG183</f>
        <v>6508084.7175200982</v>
      </c>
      <c r="AH184" s="539">
        <f t="shared" ref="AH184" si="528">AG184+AH183</f>
        <v>8612975.3096587341</v>
      </c>
      <c r="AI184" s="539">
        <f t="shared" ref="AI184" si="529">AH184+AI183</f>
        <v>10760081.444568686</v>
      </c>
      <c r="AJ184" s="539">
        <f t="shared" ref="AJ184" si="530">AI184+AJ183</f>
        <v>12824939.62768613</v>
      </c>
      <c r="AK184" s="539">
        <f t="shared" ref="AK184" si="531">AJ184+AK183</f>
        <v>14879264.885892449</v>
      </c>
      <c r="AL184" s="539">
        <f t="shared" ref="AL184" si="532">AK184+AL183</f>
        <v>16931855.044667434</v>
      </c>
      <c r="AM184" s="539">
        <f t="shared" ref="AM184" si="533">AL184+AM183</f>
        <v>18988922.515988212</v>
      </c>
      <c r="AN184" s="539">
        <f t="shared" ref="AN184" si="534">AM184+AN183</f>
        <v>21055074.98197113</v>
      </c>
      <c r="AO184" s="539">
        <f t="shared" ref="AO184" si="535">AN184+AO183</f>
        <v>23135049.157727268</v>
      </c>
      <c r="AP184" s="539">
        <f t="shared" ref="AP184" si="536">AO184+AP183</f>
        <v>25228838.627988443</v>
      </c>
      <c r="AQ184" s="542">
        <f t="shared" si="513"/>
        <v>25228838.627988443</v>
      </c>
      <c r="AR184" s="539">
        <f>AR183</f>
        <v>2107751.906729585</v>
      </c>
      <c r="AS184" s="539">
        <f t="shared" ref="AS184" si="537">AR184+AS183</f>
        <v>4019527.1789689902</v>
      </c>
      <c r="AT184" s="539">
        <f t="shared" ref="AT184" si="538">AS184+AT183</f>
        <v>5629088.9442897551</v>
      </c>
      <c r="AU184" s="539">
        <f t="shared" ref="AU184" si="539">AT184+AU183</f>
        <v>6934426.2859790893</v>
      </c>
      <c r="AV184" s="539">
        <f t="shared" ref="AV184" si="540">AU184+AV183</f>
        <v>7933545.6012127837</v>
      </c>
      <c r="AW184" s="539">
        <f t="shared" ref="AW184" si="541">AV184+AW183</f>
        <v>8624367.0364811327</v>
      </c>
      <c r="AX184" s="539">
        <f t="shared" ref="AX184" si="542">AW184+AX183</f>
        <v>9004839.1125843693</v>
      </c>
      <c r="AY184" s="585">
        <f t="shared" ref="AY184" si="543">AX184+AY183</f>
        <v>9072927.3937947247</v>
      </c>
      <c r="AZ184" s="539"/>
      <c r="BA184" s="539"/>
      <c r="BB184" s="585"/>
      <c r="BC184" s="539"/>
      <c r="BD184" s="542"/>
      <c r="BE184" s="539">
        <f>BE183</f>
        <v>0</v>
      </c>
      <c r="BF184" s="539">
        <f t="shared" ref="BF184" si="544">BE184+BF183</f>
        <v>0</v>
      </c>
      <c r="BG184" s="539">
        <f t="shared" ref="BG184" si="545">BF184+BG183</f>
        <v>0</v>
      </c>
      <c r="BH184" s="539">
        <f t="shared" ref="BH184" si="546">BG184+BH183</f>
        <v>0</v>
      </c>
      <c r="BI184" s="539">
        <f t="shared" ref="BI184" si="547">BH184+BI183</f>
        <v>0</v>
      </c>
      <c r="BJ184" s="539">
        <f t="shared" ref="BJ184" si="548">BI184+BJ183</f>
        <v>0</v>
      </c>
      <c r="BK184" s="539">
        <f t="shared" ref="BK184" si="549">BJ184+BK183</f>
        <v>0</v>
      </c>
      <c r="BL184" s="539">
        <f t="shared" ref="BL184" si="550">BK184+BL183</f>
        <v>0</v>
      </c>
      <c r="BM184" s="539">
        <f t="shared" ref="BM184" si="551">BL184+BM183</f>
        <v>0</v>
      </c>
      <c r="BN184" s="539">
        <f t="shared" ref="BN184" si="552">BM184+BN183</f>
        <v>0</v>
      </c>
      <c r="BO184" s="585"/>
      <c r="BP184" s="539"/>
      <c r="BQ184" s="542"/>
      <c r="BR184" s="539">
        <f>BR183</f>
        <v>0</v>
      </c>
      <c r="BS184" s="539">
        <f t="shared" ref="BS184" si="553">BR184+BS183</f>
        <v>0</v>
      </c>
      <c r="BT184" s="539">
        <f t="shared" ref="BT184" si="554">BS184+BT183</f>
        <v>0</v>
      </c>
      <c r="BU184" s="539">
        <f t="shared" ref="BU184" si="555">BT184+BU183</f>
        <v>0</v>
      </c>
      <c r="BV184" s="539">
        <f t="shared" ref="BV184" si="556">BU184+BV183</f>
        <v>0</v>
      </c>
      <c r="BW184" s="539">
        <f t="shared" ref="BW184" si="557">BV184+BW183</f>
        <v>0</v>
      </c>
      <c r="BX184" s="539">
        <f t="shared" ref="BX184" si="558">BW184+BX183</f>
        <v>0</v>
      </c>
      <c r="BY184" s="539">
        <f t="shared" ref="BY184" si="559">BX184+BY183</f>
        <v>0</v>
      </c>
      <c r="BZ184" s="539">
        <f t="shared" ref="BZ184" si="560">BY184+BZ183</f>
        <v>0</v>
      </c>
      <c r="CA184" s="539">
        <f t="shared" ref="CA184" si="561">BZ184+CA183</f>
        <v>0</v>
      </c>
      <c r="CB184" s="539">
        <f t="shared" ref="CB184" si="562">CA184+CB183</f>
        <v>0</v>
      </c>
      <c r="CC184" s="539">
        <f t="shared" ref="CC184" si="563">CB184+CC183</f>
        <v>0</v>
      </c>
      <c r="CD184" s="542"/>
      <c r="CE184" s="539">
        <f>CE183</f>
        <v>0</v>
      </c>
      <c r="CF184" s="539">
        <f t="shared" ref="CF184" si="564">CE184+CF183</f>
        <v>0</v>
      </c>
      <c r="CG184" s="539">
        <f t="shared" ref="CG184" si="565">CF184+CG183</f>
        <v>0</v>
      </c>
      <c r="CH184" s="539">
        <f t="shared" ref="CH184" si="566">CG184+CH183</f>
        <v>0</v>
      </c>
      <c r="CI184" s="539">
        <f t="shared" ref="CI184" si="567">CH184+CI183</f>
        <v>0</v>
      </c>
      <c r="CJ184" s="539">
        <f t="shared" ref="CJ184" si="568">CI184+CJ183</f>
        <v>0</v>
      </c>
      <c r="CK184" s="539">
        <f t="shared" ref="CK184" si="569">CJ184+CK183</f>
        <v>0</v>
      </c>
      <c r="CL184" s="539">
        <f t="shared" ref="CL184" si="570">CK184+CL183</f>
        <v>0</v>
      </c>
      <c r="CM184" s="539">
        <f t="shared" ref="CM184" si="571">CL184+CM183</f>
        <v>0</v>
      </c>
      <c r="CN184" s="539">
        <f t="shared" ref="CN184" si="572">CM184+CN183</f>
        <v>0</v>
      </c>
      <c r="CO184" s="539">
        <f t="shared" ref="CO184" si="573">CN184+CO183</f>
        <v>0</v>
      </c>
      <c r="CP184" s="554">
        <f t="shared" ref="CP184" si="574">CO184+CP183</f>
        <v>0</v>
      </c>
      <c r="CQ184" s="49"/>
      <c r="CR184" s="49"/>
      <c r="CS184" s="49"/>
      <c r="CT184" s="49"/>
      <c r="CU184" s="49"/>
      <c r="CV184" s="49"/>
      <c r="CW184" s="49"/>
      <c r="CX184" s="49"/>
      <c r="CY184" s="49"/>
      <c r="CZ184" s="49"/>
      <c r="DA184" s="49"/>
      <c r="DB184" s="49"/>
      <c r="DC184" s="24"/>
      <c r="DD184" s="24"/>
      <c r="DE184" s="24"/>
      <c r="DF184" s="24"/>
      <c r="DG184" s="24"/>
      <c r="DH184" s="24"/>
      <c r="DI184" s="24"/>
      <c r="DJ184" s="24"/>
      <c r="DK184" s="24"/>
    </row>
    <row r="185" spans="1:117" s="539" customFormat="1" ht="14.6" x14ac:dyDescent="0.4">
      <c r="A185" s="564"/>
      <c r="B185" s="24" t="s">
        <v>629</v>
      </c>
      <c r="E185" s="539">
        <f>E182+E183</f>
        <v>75000000</v>
      </c>
      <c r="F185" s="539">
        <f>F182+F184</f>
        <v>75500000</v>
      </c>
      <c r="G185" s="539">
        <f t="shared" ref="G185:P185" si="575">G182+G184</f>
        <v>126000000</v>
      </c>
      <c r="H185" s="539">
        <f t="shared" si="575"/>
        <v>146833333.33333334</v>
      </c>
      <c r="I185" s="539">
        <f t="shared" si="575"/>
        <v>177800000</v>
      </c>
      <c r="J185" s="539">
        <f t="shared" si="575"/>
        <v>178966666.66666666</v>
      </c>
      <c r="K185" s="539">
        <f t="shared" si="575"/>
        <v>205133333.33333334</v>
      </c>
      <c r="L185" s="539">
        <f t="shared" si="575"/>
        <v>226466666.66666666</v>
      </c>
      <c r="M185" s="539">
        <f t="shared" si="575"/>
        <v>247933333.33333334</v>
      </c>
      <c r="N185" s="539">
        <f t="shared" si="575"/>
        <v>269533333.33333331</v>
      </c>
      <c r="O185" s="539">
        <f t="shared" si="575"/>
        <v>291266666.66666669</v>
      </c>
      <c r="P185" s="539">
        <f t="shared" si="575"/>
        <v>313133333.33333331</v>
      </c>
      <c r="Q185" s="542">
        <f>P185</f>
        <v>313133333.33333331</v>
      </c>
      <c r="R185" s="539">
        <f>R182+R184</f>
        <v>315220888.8888889</v>
      </c>
      <c r="S185" s="539">
        <f t="shared" ref="S185:AC185" si="576">S182+S184</f>
        <v>317308444.44444442</v>
      </c>
      <c r="T185" s="539">
        <f t="shared" si="576"/>
        <v>319396000</v>
      </c>
      <c r="U185" s="539">
        <f t="shared" si="576"/>
        <v>321483555.55555552</v>
      </c>
      <c r="V185" s="539">
        <f t="shared" si="576"/>
        <v>323571111.1111111</v>
      </c>
      <c r="W185" s="539">
        <f t="shared" si="576"/>
        <v>325658666.66666663</v>
      </c>
      <c r="X185" s="539">
        <f t="shared" si="576"/>
        <v>327746222.22222221</v>
      </c>
      <c r="Y185" s="539">
        <f t="shared" si="576"/>
        <v>329833777.77777773</v>
      </c>
      <c r="Z185" s="539">
        <f t="shared" si="576"/>
        <v>331921333.33333331</v>
      </c>
      <c r="AA185" s="539">
        <f t="shared" si="576"/>
        <v>334008888.8888889</v>
      </c>
      <c r="AB185" s="539">
        <f t="shared" si="576"/>
        <v>336096444.44444442</v>
      </c>
      <c r="AC185" s="539">
        <f t="shared" si="576"/>
        <v>338184000</v>
      </c>
      <c r="AD185" s="542">
        <f>AD182+AD183</f>
        <v>338184000</v>
      </c>
      <c r="AE185" s="539">
        <f>AE182+AE184</f>
        <v>340438560</v>
      </c>
      <c r="AF185" s="539">
        <f t="shared" ref="AF185:AO185" si="577">AF182+AF184</f>
        <v>342613075.83425373</v>
      </c>
      <c r="AG185" s="539">
        <f t="shared" si="577"/>
        <v>344692084.71752012</v>
      </c>
      <c r="AH185" s="539">
        <f t="shared" si="577"/>
        <v>346796975.30965871</v>
      </c>
      <c r="AI185" s="539">
        <f t="shared" si="577"/>
        <v>348944081.44456869</v>
      </c>
      <c r="AJ185" s="539">
        <f t="shared" si="577"/>
        <v>351008939.62768614</v>
      </c>
      <c r="AK185" s="539">
        <f t="shared" si="577"/>
        <v>353063264.88589245</v>
      </c>
      <c r="AL185" s="539">
        <f t="shared" si="577"/>
        <v>355115855.04466742</v>
      </c>
      <c r="AM185" s="539">
        <f t="shared" si="577"/>
        <v>357172922.51598823</v>
      </c>
      <c r="AN185" s="539">
        <f t="shared" si="577"/>
        <v>359239074.98197114</v>
      </c>
      <c r="AO185" s="539">
        <f t="shared" si="577"/>
        <v>361319049.15772724</v>
      </c>
      <c r="AP185" s="539">
        <f>AP182+AP184</f>
        <v>363412838.62798846</v>
      </c>
      <c r="AQ185" s="542">
        <f t="shared" si="513"/>
        <v>363412838.62798846</v>
      </c>
      <c r="AR185" s="539">
        <f>AR182+AR184</f>
        <v>365520590.53471804</v>
      </c>
      <c r="AS185" s="539">
        <f t="shared" ref="AS185" si="578">AS182+AS184</f>
        <v>367432365.80695742</v>
      </c>
      <c r="AT185" s="539">
        <f t="shared" ref="AT185" si="579">AT182+AT184</f>
        <v>369041927.5722782</v>
      </c>
      <c r="AU185" s="539">
        <f t="shared" ref="AU185" si="580">AU182+AU184</f>
        <v>370347264.91396755</v>
      </c>
      <c r="AV185" s="539">
        <f t="shared" ref="AV185" si="581">AV182+AV184</f>
        <v>371346384.22920126</v>
      </c>
      <c r="AW185" s="539">
        <f t="shared" ref="AW185" si="582">AW182+AW184</f>
        <v>372037205.6644696</v>
      </c>
      <c r="AX185" s="539">
        <f t="shared" ref="AX185" si="583">AX182+AX184</f>
        <v>372417677.74057281</v>
      </c>
      <c r="AY185" s="585">
        <f>AY182+AY184</f>
        <v>372485766.02178317</v>
      </c>
      <c r="BB185" s="585"/>
      <c r="BD185" s="542"/>
      <c r="BO185" s="585"/>
      <c r="BP185" s="592"/>
      <c r="BQ185" s="542"/>
      <c r="CD185" s="542"/>
      <c r="CP185" s="554"/>
    </row>
    <row r="186" spans="1:117" s="585" customFormat="1" ht="14.25" customHeight="1" x14ac:dyDescent="0.4">
      <c r="A186" s="564"/>
      <c r="B186" s="24" t="s">
        <v>633</v>
      </c>
      <c r="C186" s="88"/>
      <c r="E186" s="585">
        <f>SUM(E172,E174,E176)</f>
        <v>0</v>
      </c>
      <c r="F186" s="585">
        <f t="shared" ref="F186:AD186" si="584">SUM(F172,F174,F176)</f>
        <v>0</v>
      </c>
      <c r="G186" s="585">
        <f t="shared" si="584"/>
        <v>0</v>
      </c>
      <c r="H186" s="585">
        <f t="shared" si="584"/>
        <v>0</v>
      </c>
      <c r="I186" s="585">
        <f t="shared" si="584"/>
        <v>0</v>
      </c>
      <c r="J186" s="585">
        <f t="shared" si="584"/>
        <v>0</v>
      </c>
      <c r="K186" s="585">
        <f t="shared" si="584"/>
        <v>0</v>
      </c>
      <c r="L186" s="585">
        <f t="shared" si="584"/>
        <v>0</v>
      </c>
      <c r="M186" s="585">
        <f t="shared" si="584"/>
        <v>0</v>
      </c>
      <c r="N186" s="585">
        <f t="shared" si="584"/>
        <v>0</v>
      </c>
      <c r="O186" s="585">
        <f t="shared" si="584"/>
        <v>0</v>
      </c>
      <c r="P186" s="585">
        <f t="shared" si="584"/>
        <v>0</v>
      </c>
      <c r="Q186" s="589">
        <f t="shared" si="584"/>
        <v>0</v>
      </c>
      <c r="R186" s="585">
        <f t="shared" si="584"/>
        <v>0</v>
      </c>
      <c r="S186" s="585">
        <f t="shared" si="584"/>
        <v>0</v>
      </c>
      <c r="T186" s="585">
        <f t="shared" si="584"/>
        <v>0</v>
      </c>
      <c r="U186" s="585">
        <f t="shared" si="584"/>
        <v>0</v>
      </c>
      <c r="V186" s="585">
        <f t="shared" si="584"/>
        <v>0</v>
      </c>
      <c r="W186" s="585">
        <f t="shared" si="584"/>
        <v>0</v>
      </c>
      <c r="X186" s="585">
        <f t="shared" si="584"/>
        <v>0</v>
      </c>
      <c r="Y186" s="585">
        <f t="shared" si="584"/>
        <v>0</v>
      </c>
      <c r="Z186" s="585">
        <f t="shared" si="584"/>
        <v>0</v>
      </c>
      <c r="AA186" s="585">
        <f t="shared" si="584"/>
        <v>0</v>
      </c>
      <c r="AB186" s="585">
        <f t="shared" si="584"/>
        <v>0</v>
      </c>
      <c r="AC186" s="585">
        <f t="shared" si="584"/>
        <v>0</v>
      </c>
      <c r="AD186" s="589">
        <f t="shared" si="584"/>
        <v>0</v>
      </c>
      <c r="AE186" s="585">
        <f>SUM(AE172,AE174)</f>
        <v>14261184.861940395</v>
      </c>
      <c r="AF186" s="585">
        <f t="shared" ref="AF186:AP186" si="585">SUM(AF172,AF174)</f>
        <v>30761743.34429853</v>
      </c>
      <c r="AG186" s="585">
        <f t="shared" si="585"/>
        <v>28958495.896724723</v>
      </c>
      <c r="AH186" s="585">
        <f t="shared" si="585"/>
        <v>24731055.073165923</v>
      </c>
      <c r="AI186" s="585">
        <f t="shared" si="585"/>
        <v>39215353.976952128</v>
      </c>
      <c r="AJ186" s="585">
        <f t="shared" si="585"/>
        <v>42860150.896738321</v>
      </c>
      <c r="AK186" s="585">
        <f t="shared" si="585"/>
        <v>45174741.069644511</v>
      </c>
      <c r="AL186" s="585">
        <f t="shared" si="585"/>
        <v>46555734.34655071</v>
      </c>
      <c r="AM186" s="585">
        <f t="shared" si="585"/>
        <v>47250052.61855071</v>
      </c>
      <c r="AN186" s="585">
        <f t="shared" si="585"/>
        <v>47242948.61855071</v>
      </c>
      <c r="AO186" s="585">
        <f t="shared" si="585"/>
        <v>47250628.61855071</v>
      </c>
      <c r="AP186" s="585">
        <f t="shared" si="585"/>
        <v>47250052.61855071</v>
      </c>
      <c r="AQ186" s="542">
        <f t="shared" si="513"/>
        <v>47250052.61855071</v>
      </c>
      <c r="AR186" s="585">
        <f t="shared" ref="AR186:AW186" si="586">AQ186+AR172+AR174+AR176</f>
        <v>78754299.698807269</v>
      </c>
      <c r="AS186" s="585">
        <f t="shared" si="586"/>
        <v>125998101.00884265</v>
      </c>
      <c r="AT186" s="585">
        <f t="shared" si="586"/>
        <v>173241326.31887802</v>
      </c>
      <c r="AU186" s="585">
        <f t="shared" si="586"/>
        <v>220479367.6289134</v>
      </c>
      <c r="AV186" s="585">
        <f t="shared" si="586"/>
        <v>267723168.93894878</v>
      </c>
      <c r="AW186" s="585">
        <f t="shared" si="586"/>
        <v>314966394.24898416</v>
      </c>
      <c r="AX186" s="585">
        <f>AW186+AX172</f>
        <v>362204435.55901957</v>
      </c>
      <c r="AY186" s="585">
        <f>AX186+AY172</f>
        <v>409448236.86905497</v>
      </c>
      <c r="BD186" s="589"/>
      <c r="BQ186" s="589"/>
      <c r="CD186" s="589"/>
      <c r="CP186" s="590"/>
    </row>
    <row r="187" spans="1:117" s="539" customFormat="1" ht="14.25" customHeight="1" x14ac:dyDescent="0.4">
      <c r="A187" s="564"/>
      <c r="B187" s="24" t="s">
        <v>630</v>
      </c>
      <c r="E187" s="561">
        <f xml:space="preserve"> E185 - E186</f>
        <v>75000000</v>
      </c>
      <c r="F187" s="561">
        <f t="shared" ref="F187:Q187" si="587" xml:space="preserve"> F185 - F186</f>
        <v>75500000</v>
      </c>
      <c r="G187" s="561">
        <f t="shared" si="587"/>
        <v>126000000</v>
      </c>
      <c r="H187" s="561">
        <f t="shared" si="587"/>
        <v>146833333.33333334</v>
      </c>
      <c r="I187" s="561">
        <f t="shared" si="587"/>
        <v>177800000</v>
      </c>
      <c r="J187" s="561">
        <f t="shared" si="587"/>
        <v>178966666.66666666</v>
      </c>
      <c r="K187" s="561">
        <f t="shared" si="587"/>
        <v>205133333.33333334</v>
      </c>
      <c r="L187" s="561">
        <f t="shared" si="587"/>
        <v>226466666.66666666</v>
      </c>
      <c r="M187" s="561">
        <f t="shared" si="587"/>
        <v>247933333.33333334</v>
      </c>
      <c r="N187" s="561">
        <f t="shared" si="587"/>
        <v>269533333.33333331</v>
      </c>
      <c r="O187" s="561">
        <f t="shared" si="587"/>
        <v>291266666.66666669</v>
      </c>
      <c r="P187" s="561">
        <f t="shared" si="587"/>
        <v>313133333.33333331</v>
      </c>
      <c r="Q187" s="563">
        <f t="shared" si="587"/>
        <v>313133333.33333331</v>
      </c>
      <c r="R187" s="561">
        <f t="shared" ref="R187" si="588" xml:space="preserve"> R185 - R186</f>
        <v>315220888.8888889</v>
      </c>
      <c r="S187" s="561">
        <f t="shared" ref="S187" si="589" xml:space="preserve"> S185 - S186</f>
        <v>317308444.44444442</v>
      </c>
      <c r="T187" s="561">
        <f t="shared" ref="T187" si="590" xml:space="preserve"> T185 - T186</f>
        <v>319396000</v>
      </c>
      <c r="U187" s="561">
        <f t="shared" ref="U187" si="591" xml:space="preserve"> U185 - U186</f>
        <v>321483555.55555552</v>
      </c>
      <c r="V187" s="561">
        <f t="shared" ref="V187" si="592" xml:space="preserve"> V185 - V186</f>
        <v>323571111.1111111</v>
      </c>
      <c r="W187" s="561">
        <f t="shared" ref="W187" si="593" xml:space="preserve"> W185 - W186</f>
        <v>325658666.66666663</v>
      </c>
      <c r="X187" s="561">
        <f t="shared" ref="X187" si="594" xml:space="preserve"> X185 - X186</f>
        <v>327746222.22222221</v>
      </c>
      <c r="Y187" s="561">
        <f t="shared" ref="Y187" si="595" xml:space="preserve"> Y185 - Y186</f>
        <v>329833777.77777773</v>
      </c>
      <c r="Z187" s="561">
        <f t="shared" ref="Z187" si="596" xml:space="preserve"> Z185 - Z186</f>
        <v>331921333.33333331</v>
      </c>
      <c r="AA187" s="561">
        <f t="shared" ref="AA187" si="597" xml:space="preserve"> AA185 - AA186</f>
        <v>334008888.8888889</v>
      </c>
      <c r="AB187" s="561">
        <f t="shared" ref="AB187:AC187" si="598" xml:space="preserve"> AB185 - AB186</f>
        <v>336096444.44444442</v>
      </c>
      <c r="AC187" s="561">
        <f t="shared" si="598"/>
        <v>338184000</v>
      </c>
      <c r="AD187" s="563">
        <f t="shared" ref="AD187" si="599" xml:space="preserve"> AD185 - AD186</f>
        <v>338184000</v>
      </c>
      <c r="AE187" s="561">
        <f xml:space="preserve"> AE185 - AE186</f>
        <v>326177375.13805962</v>
      </c>
      <c r="AF187" s="561">
        <f t="shared" ref="AF187" si="600" xml:space="preserve"> AF185 - AF186</f>
        <v>311851332.48995519</v>
      </c>
      <c r="AG187" s="561">
        <f t="shared" ref="AG187" si="601" xml:space="preserve"> AG185 - AG186</f>
        <v>315733588.82079542</v>
      </c>
      <c r="AH187" s="561">
        <f t="shared" ref="AH187" si="602" xml:space="preserve"> AH185 - AH186</f>
        <v>322065920.23649275</v>
      </c>
      <c r="AI187" s="561">
        <f t="shared" ref="AI187" si="603" xml:space="preserve"> AI185 - AI186</f>
        <v>309728727.46761656</v>
      </c>
      <c r="AJ187" s="561">
        <f t="shared" ref="AJ187" si="604" xml:space="preserve"> AJ185 - AJ186</f>
        <v>308148788.73094785</v>
      </c>
      <c r="AK187" s="561">
        <f t="shared" ref="AK187" si="605" xml:space="preserve"> AK185 - AK186</f>
        <v>307888523.81624794</v>
      </c>
      <c r="AL187" s="561">
        <f t="shared" ref="AL187" si="606" xml:space="preserve"> AL185 - AL186</f>
        <v>308560120.69811672</v>
      </c>
      <c r="AM187" s="561">
        <f t="shared" ref="AM187" si="607" xml:space="preserve"> AM185 - AM186</f>
        <v>309922869.89743751</v>
      </c>
      <c r="AN187" s="561">
        <f t="shared" ref="AN187" si="608" xml:space="preserve"> AN185 - AN186</f>
        <v>311996126.36342043</v>
      </c>
      <c r="AO187" s="561">
        <f t="shared" ref="AO187" si="609" xml:space="preserve"> AO185 - AO186</f>
        <v>314068420.53917652</v>
      </c>
      <c r="AP187" s="561">
        <f t="shared" ref="AP187" si="610" xml:space="preserve"> AP185 - AP186</f>
        <v>316162786.00943774</v>
      </c>
      <c r="AQ187" s="563">
        <f xml:space="preserve"> AQ185 - AQ186</f>
        <v>316162786.00943774</v>
      </c>
      <c r="AR187" s="561">
        <f t="shared" ref="AR187:AS187" si="611" xml:space="preserve"> AR185 - AR186</f>
        <v>286766290.8359108</v>
      </c>
      <c r="AS187" s="561">
        <f t="shared" si="611"/>
        <v>241434264.79811478</v>
      </c>
      <c r="AT187" s="561">
        <f t="shared" ref="AT187" si="612" xml:space="preserve"> AT185 - AT186</f>
        <v>195800601.25340018</v>
      </c>
      <c r="AU187" s="561">
        <f t="shared" ref="AU187" si="613" xml:space="preserve"> AU185 - AU186</f>
        <v>149867897.28505415</v>
      </c>
      <c r="AV187" s="561">
        <f t="shared" ref="AV187" si="614" xml:space="preserve"> AV185 - AV186</f>
        <v>103623215.29025248</v>
      </c>
      <c r="AW187" s="561">
        <f t="shared" ref="AW187" si="615" xml:space="preserve"> AW185 - AW186</f>
        <v>57070811.415485442</v>
      </c>
      <c r="AX187" s="561">
        <f t="shared" ref="AX187:AY187" si="616" xml:space="preserve"> AX185 - AX186</f>
        <v>10213242.181553245</v>
      </c>
      <c r="AY187" s="561">
        <f t="shared" si="616"/>
        <v>-36962470.8472718</v>
      </c>
      <c r="AZ187" s="561">
        <v>0</v>
      </c>
      <c r="BA187" s="561">
        <v>0</v>
      </c>
      <c r="BB187" s="561">
        <v>0</v>
      </c>
      <c r="BC187" s="561">
        <v>0</v>
      </c>
      <c r="BD187" s="563">
        <v>0</v>
      </c>
      <c r="BE187" s="561">
        <f t="shared" ref="BE187:BH187" si="617" xml:space="preserve"> BE185 - BE186</f>
        <v>0</v>
      </c>
      <c r="BF187" s="561">
        <f t="shared" si="617"/>
        <v>0</v>
      </c>
      <c r="BG187" s="561">
        <f t="shared" si="617"/>
        <v>0</v>
      </c>
      <c r="BH187" s="561">
        <f t="shared" si="617"/>
        <v>0</v>
      </c>
      <c r="BI187" s="561">
        <f t="shared" ref="BI187" si="618" xml:space="preserve"> BI185 - BI186</f>
        <v>0</v>
      </c>
      <c r="BJ187" s="561">
        <f t="shared" ref="BJ187" si="619" xml:space="preserve"> BJ185 - BJ186</f>
        <v>0</v>
      </c>
      <c r="BK187" s="561">
        <f t="shared" ref="BK187" si="620" xml:space="preserve"> BK185 - BK186</f>
        <v>0</v>
      </c>
      <c r="BL187" s="561">
        <f t="shared" ref="BL187" si="621" xml:space="preserve"> BL185 - BL186</f>
        <v>0</v>
      </c>
      <c r="BM187" s="561">
        <f t="shared" ref="BM187" si="622" xml:space="preserve"> BM185 - BM186</f>
        <v>0</v>
      </c>
      <c r="BN187" s="561">
        <f t="shared" ref="BN187" si="623" xml:space="preserve"> BN185 - BN186</f>
        <v>0</v>
      </c>
      <c r="BO187" s="561">
        <f t="shared" ref="BO187" si="624" xml:space="preserve"> BO185 - BO186</f>
        <v>0</v>
      </c>
      <c r="BP187" s="561">
        <f t="shared" ref="BP187" si="625" xml:space="preserve"> BP185 - BP186</f>
        <v>0</v>
      </c>
      <c r="BQ187" s="563">
        <f t="shared" ref="BQ187" si="626" xml:space="preserve"> BQ185 - BQ186</f>
        <v>0</v>
      </c>
      <c r="BR187" s="561">
        <f t="shared" ref="BR187" si="627" xml:space="preserve"> BR185 - BR186</f>
        <v>0</v>
      </c>
      <c r="BS187" s="561">
        <f t="shared" ref="BS187" si="628" xml:space="preserve"> BS185 - BS186</f>
        <v>0</v>
      </c>
      <c r="BT187" s="561">
        <f t="shared" ref="BT187" si="629" xml:space="preserve"> BT185 - BT186</f>
        <v>0</v>
      </c>
      <c r="BU187" s="561">
        <f t="shared" ref="BU187" si="630" xml:space="preserve"> BU185 - BU186</f>
        <v>0</v>
      </c>
      <c r="BV187" s="561">
        <f t="shared" ref="BV187" si="631" xml:space="preserve"> BV185 - BV186</f>
        <v>0</v>
      </c>
      <c r="BW187" s="561">
        <f t="shared" ref="BW187" si="632" xml:space="preserve"> BW185 - BW186</f>
        <v>0</v>
      </c>
      <c r="BX187" s="561">
        <f t="shared" ref="BX187" si="633" xml:space="preserve"> BX185 - BX186</f>
        <v>0</v>
      </c>
      <c r="BY187" s="561">
        <f t="shared" ref="BY187" si="634" xml:space="preserve"> BY185 - BY186</f>
        <v>0</v>
      </c>
      <c r="BZ187" s="561">
        <f t="shared" ref="BZ187" si="635" xml:space="preserve"> BZ185 - BZ186</f>
        <v>0</v>
      </c>
      <c r="CA187" s="561">
        <f t="shared" ref="CA187" si="636" xml:space="preserve"> CA185 - CA186</f>
        <v>0</v>
      </c>
      <c r="CB187" s="561">
        <f t="shared" ref="CB187" si="637" xml:space="preserve"> CB185 - CB186</f>
        <v>0</v>
      </c>
      <c r="CC187" s="561">
        <f t="shared" ref="CC187" si="638" xml:space="preserve"> CC185 - CC186</f>
        <v>0</v>
      </c>
      <c r="CD187" s="563">
        <f t="shared" ref="CD187" si="639" xml:space="preserve"> CD185 - CD186</f>
        <v>0</v>
      </c>
      <c r="CE187" s="561">
        <f t="shared" ref="CE187" si="640" xml:space="preserve"> CE185 - CE186</f>
        <v>0</v>
      </c>
      <c r="CF187" s="561">
        <f t="shared" ref="CF187:CH187" si="641" xml:space="preserve"> CF185 - CF186</f>
        <v>0</v>
      </c>
      <c r="CG187" s="561">
        <f t="shared" si="641"/>
        <v>0</v>
      </c>
      <c r="CH187" s="561">
        <f t="shared" si="641"/>
        <v>0</v>
      </c>
      <c r="CI187" s="561">
        <f t="shared" ref="CI187" si="642" xml:space="preserve"> CI185 - CI186</f>
        <v>0</v>
      </c>
      <c r="CJ187" s="561">
        <f t="shared" ref="CJ187" si="643" xml:space="preserve"> CJ185 - CJ186</f>
        <v>0</v>
      </c>
      <c r="CK187" s="561">
        <f t="shared" ref="CK187" si="644" xml:space="preserve"> CK185 - CK186</f>
        <v>0</v>
      </c>
      <c r="CL187" s="561">
        <f t="shared" ref="CL187" si="645" xml:space="preserve"> CL185 - CL186</f>
        <v>0</v>
      </c>
      <c r="CM187" s="561">
        <f t="shared" ref="CM187" si="646" xml:space="preserve"> CM185 - CM186</f>
        <v>0</v>
      </c>
      <c r="CN187" s="561">
        <f t="shared" ref="CN187" si="647" xml:space="preserve"> CN185 - CN186</f>
        <v>0</v>
      </c>
      <c r="CO187" s="561">
        <f t="shared" ref="CO187" si="648" xml:space="preserve"> CO185 - CO186</f>
        <v>0</v>
      </c>
      <c r="CP187" s="562">
        <f t="shared" ref="CP187" si="649" xml:space="preserve"> CP185 - CP186</f>
        <v>0</v>
      </c>
      <c r="CQ187" s="561">
        <f t="shared" ref="CQ187" si="650" xml:space="preserve"> CQ185 - CQ186</f>
        <v>0</v>
      </c>
      <c r="CS187" s="49"/>
      <c r="CT187" s="49"/>
      <c r="CU187" s="49"/>
      <c r="CV187" s="49"/>
      <c r="CW187" s="49"/>
      <c r="CX187" s="49"/>
      <c r="CY187" s="49"/>
      <c r="CZ187" s="49"/>
      <c r="DA187" s="49"/>
      <c r="DB187" s="49"/>
      <c r="DC187" s="24"/>
      <c r="DD187" s="24"/>
      <c r="DE187" s="24"/>
      <c r="DF187" s="24"/>
      <c r="DG187" s="24"/>
      <c r="DH187" s="24"/>
      <c r="DI187" s="24"/>
      <c r="DJ187" s="24"/>
      <c r="DK187" s="24"/>
      <c r="DL187"/>
      <c r="DM187"/>
    </row>
    <row r="188" spans="1:117" s="539" customFormat="1" ht="14.25" customHeight="1" x14ac:dyDescent="0.4">
      <c r="A188" s="564"/>
      <c r="B188" s="24" t="s">
        <v>632</v>
      </c>
      <c r="C188" s="88">
        <f>CP188</f>
        <v>1446155338.3775153</v>
      </c>
      <c r="E188" s="561"/>
      <c r="F188" s="561"/>
      <c r="G188" s="561"/>
      <c r="H188" s="561"/>
      <c r="I188" s="561"/>
      <c r="J188" s="561"/>
      <c r="K188" s="561"/>
      <c r="L188" s="561"/>
      <c r="M188" s="561"/>
      <c r="N188" s="561"/>
      <c r="O188" s="561"/>
      <c r="P188" s="561"/>
      <c r="Q188" s="563"/>
      <c r="R188" s="561"/>
      <c r="S188" s="561"/>
      <c r="T188" s="561"/>
      <c r="U188" s="561"/>
      <c r="V188" s="561"/>
      <c r="W188" s="561"/>
      <c r="X188" s="561"/>
      <c r="Y188" s="561"/>
      <c r="Z188" s="561"/>
      <c r="AA188" s="561"/>
      <c r="AB188" s="561"/>
      <c r="AC188" s="561"/>
      <c r="AD188" s="563"/>
      <c r="AE188" s="38">
        <f>AE172+AE174+AE176+AD195</f>
        <v>14261184.861940395</v>
      </c>
      <c r="AF188" s="38">
        <f>AF172+AF174+AF176+AE195</f>
        <v>30761743.34429853</v>
      </c>
      <c r="AG188" s="38">
        <f t="shared" ref="AG188:AP188" si="651">AG172+AG174+AG176+AF188</f>
        <v>59720239.241023257</v>
      </c>
      <c r="AH188" s="38">
        <f t="shared" si="651"/>
        <v>84451294.314189181</v>
      </c>
      <c r="AI188" s="38">
        <f t="shared" si="651"/>
        <v>123666648.2911413</v>
      </c>
      <c r="AJ188" s="38">
        <f t="shared" si="651"/>
        <v>166526799.18787962</v>
      </c>
      <c r="AK188" s="38">
        <f t="shared" si="651"/>
        <v>211701540.25752413</v>
      </c>
      <c r="AL188" s="38">
        <f t="shared" si="651"/>
        <v>258257274.60407484</v>
      </c>
      <c r="AM188" s="38">
        <f t="shared" si="651"/>
        <v>305507327.22262555</v>
      </c>
      <c r="AN188" s="38">
        <f t="shared" si="651"/>
        <v>352750275.84117627</v>
      </c>
      <c r="AO188" s="38">
        <f t="shared" si="651"/>
        <v>400000904.45972699</v>
      </c>
      <c r="AP188" s="38">
        <f t="shared" si="651"/>
        <v>447250957.07827771</v>
      </c>
      <c r="AQ188" s="89">
        <f>AQ172+AQ174+AQ176</f>
        <v>461512141.94021815</v>
      </c>
      <c r="AR188" s="38">
        <f t="shared" ref="AR188:BC188" si="652">AR172+AR174+AR176+AQ188</f>
        <v>493016389.02047473</v>
      </c>
      <c r="AS188" s="38">
        <f t="shared" si="652"/>
        <v>540260190.33051014</v>
      </c>
      <c r="AT188" s="38">
        <f t="shared" si="652"/>
        <v>587503415.64054549</v>
      </c>
      <c r="AU188" s="38">
        <f t="shared" si="652"/>
        <v>634741456.95058084</v>
      </c>
      <c r="AV188" s="38">
        <f t="shared" si="652"/>
        <v>681985258.26061618</v>
      </c>
      <c r="AW188" s="38">
        <f t="shared" si="652"/>
        <v>729228483.57065153</v>
      </c>
      <c r="AX188" s="38">
        <f t="shared" si="652"/>
        <v>776466524.88068688</v>
      </c>
      <c r="AY188" s="38">
        <f t="shared" si="652"/>
        <v>823710326.19072223</v>
      </c>
      <c r="AZ188" s="38">
        <f t="shared" si="652"/>
        <v>835521132.51823103</v>
      </c>
      <c r="BA188" s="38">
        <f>BA172+BA174+BA176+AZ188</f>
        <v>847330162.84573984</v>
      </c>
      <c r="BB188" s="38">
        <f t="shared" si="652"/>
        <v>859141113.17324865</v>
      </c>
      <c r="BC188" s="38">
        <f t="shared" si="652"/>
        <v>870951919.50075746</v>
      </c>
      <c r="BD188" s="563">
        <f>BC188</f>
        <v>870951919.50075746</v>
      </c>
      <c r="BE188" s="38">
        <f>BE172+BE174+BE176+BD188</f>
        <v>880642946.26984572</v>
      </c>
      <c r="BF188" s="38">
        <f t="shared" ref="BF188:CP188" si="653">BF172+BF174+BF176+BE188</f>
        <v>892452426.77714062</v>
      </c>
      <c r="BG188" s="38">
        <f t="shared" si="653"/>
        <v>904261690.60091543</v>
      </c>
      <c r="BH188" s="38">
        <f t="shared" si="653"/>
        <v>916069658.42469025</v>
      </c>
      <c r="BI188" s="38">
        <f t="shared" si="653"/>
        <v>927878990.65760434</v>
      </c>
      <c r="BJ188" s="38">
        <f t="shared" si="653"/>
        <v>939688178.89051843</v>
      </c>
      <c r="BK188" s="38">
        <f t="shared" si="653"/>
        <v>951495992.50893724</v>
      </c>
      <c r="BL188" s="38">
        <f t="shared" si="653"/>
        <v>963305246.12735605</v>
      </c>
      <c r="BM188" s="38">
        <f t="shared" si="653"/>
        <v>975114273.98669982</v>
      </c>
      <c r="BN188" s="38">
        <f t="shared" si="653"/>
        <v>986921525.84604359</v>
      </c>
      <c r="BO188" s="38">
        <f t="shared" si="653"/>
        <v>998730612.67594934</v>
      </c>
      <c r="BP188" s="38">
        <f t="shared" si="653"/>
        <v>1010539555.5058551</v>
      </c>
      <c r="BQ188" s="563">
        <f>BP188</f>
        <v>1010539555.5058551</v>
      </c>
      <c r="BR188" s="38">
        <f t="shared" si="653"/>
        <v>1022219536.654241</v>
      </c>
      <c r="BS188" s="38">
        <f t="shared" si="653"/>
        <v>1034027126.5279074</v>
      </c>
      <c r="BT188" s="38">
        <f t="shared" si="653"/>
        <v>1045834572.4015738</v>
      </c>
      <c r="BU188" s="38">
        <f t="shared" si="653"/>
        <v>1057640722.2752402</v>
      </c>
      <c r="BV188" s="38">
        <f t="shared" si="653"/>
        <v>1069448312.1489066</v>
      </c>
      <c r="BW188" s="38">
        <f t="shared" si="653"/>
        <v>1081255758.022573</v>
      </c>
      <c r="BX188" s="38">
        <f t="shared" si="653"/>
        <v>1093061907.8962395</v>
      </c>
      <c r="BY188" s="38">
        <f t="shared" si="653"/>
        <v>1104869497.769906</v>
      </c>
      <c r="BZ188" s="38">
        <f t="shared" si="653"/>
        <v>1116676943.6435726</v>
      </c>
      <c r="CA188" s="38">
        <f t="shared" si="653"/>
        <v>1128482613.5172391</v>
      </c>
      <c r="CB188" s="38">
        <f t="shared" si="653"/>
        <v>1140290203.3909056</v>
      </c>
      <c r="CC188" s="38">
        <f t="shared" si="653"/>
        <v>1152097649.2645721</v>
      </c>
      <c r="CD188" s="563">
        <f>CC188</f>
        <v>1152097649.2645721</v>
      </c>
      <c r="CE188" s="38">
        <f t="shared" si="653"/>
        <v>1165768686.2966754</v>
      </c>
      <c r="CF188" s="38">
        <f t="shared" si="653"/>
        <v>1191303695.1232073</v>
      </c>
      <c r="CG188" s="38">
        <f t="shared" si="653"/>
        <v>1216845445.6503866</v>
      </c>
      <c r="CH188" s="38">
        <f t="shared" si="653"/>
        <v>1242391590.690968</v>
      </c>
      <c r="CI188" s="38">
        <f t="shared" si="653"/>
        <v>1267947883.4538023</v>
      </c>
      <c r="CJ188" s="38">
        <f t="shared" si="653"/>
        <v>1293511077.5468063</v>
      </c>
      <c r="CK188" s="38">
        <f t="shared" si="653"/>
        <v>1319078826.9799564</v>
      </c>
      <c r="CL188" s="38">
        <f t="shared" si="653"/>
        <v>1344656886.1683035</v>
      </c>
      <c r="CM188" s="38">
        <f t="shared" si="653"/>
        <v>1370242009.9350116</v>
      </c>
      <c r="CN188" s="38">
        <f t="shared" si="653"/>
        <v>1395830853.5144186</v>
      </c>
      <c r="CO188" s="38">
        <f t="shared" si="653"/>
        <v>1421431172.5551195</v>
      </c>
      <c r="CP188" s="38">
        <f t="shared" si="653"/>
        <v>1446155338.3775153</v>
      </c>
      <c r="CQ188" s="563">
        <f>CP188</f>
        <v>1446155338.3775153</v>
      </c>
      <c r="CS188" s="49"/>
      <c r="CT188" s="49"/>
      <c r="CU188" s="49"/>
      <c r="CV188" s="49"/>
      <c r="CW188" s="49"/>
      <c r="CX188" s="49"/>
      <c r="CY188" s="49"/>
      <c r="CZ188" s="49"/>
      <c r="DA188" s="49"/>
      <c r="DB188" s="49"/>
      <c r="DC188" s="24"/>
      <c r="DD188" s="24"/>
      <c r="DE188" s="24"/>
      <c r="DF188" s="24"/>
      <c r="DG188" s="24"/>
      <c r="DH188" s="24"/>
      <c r="DI188" s="24"/>
      <c r="DJ188" s="24"/>
      <c r="DK188" s="24"/>
      <c r="DL188"/>
      <c r="DM188"/>
    </row>
    <row r="189" spans="1:117" s="624" customFormat="1" ht="14.25" customHeight="1" x14ac:dyDescent="0.45">
      <c r="A189" s="564"/>
      <c r="B189" s="132" t="s">
        <v>628</v>
      </c>
      <c r="C189" s="77"/>
      <c r="D189" s="118"/>
      <c r="E189" s="623">
        <f>IF(E187&gt;0,1,IF(SUM($E$191:E1911)&gt;0,2,3))</f>
        <v>1</v>
      </c>
      <c r="F189" s="623">
        <f>IF(F187&gt;0,1,IF(SUM($E$191:F1911)&gt;0,2,3))</f>
        <v>1</v>
      </c>
      <c r="G189" s="623">
        <f>IF(G187&gt;0,1,IF(SUM($E$191:G1911)&gt;0,2,3))</f>
        <v>1</v>
      </c>
      <c r="H189" s="623">
        <f>IF(H187&gt;0,1,IF(SUM($E$191:H1911)&gt;0,2,3))</f>
        <v>1</v>
      </c>
      <c r="I189" s="623">
        <f>IF(I187&gt;0,1,IF(SUM($E$191:I1911)&gt;0,2,3))</f>
        <v>1</v>
      </c>
      <c r="J189" s="623">
        <f>IF(J187&gt;0,1,IF(SUM($E$191:J1911)&gt;0,2,3))</f>
        <v>1</v>
      </c>
      <c r="K189" s="623">
        <f>IF(K187&gt;0,1,IF(SUM($E$191:K1911)&gt;0,2,3))</f>
        <v>1</v>
      </c>
      <c r="L189" s="623">
        <f>IF(L187&gt;0,1,IF(SUM($E$191:L1911)&gt;0,2,3))</f>
        <v>1</v>
      </c>
      <c r="M189" s="623">
        <f>IF(M187&gt;0,1,IF(SUM($E$191:M1911)&gt;0,2,3))</f>
        <v>1</v>
      </c>
      <c r="N189" s="623">
        <f>IF(N187&gt;0,1,IF(SUM($E$191:N1911)&gt;0,2,3))</f>
        <v>1</v>
      </c>
      <c r="O189" s="623">
        <f>IF(O187&gt;0,1,IF(SUM($E$191:O1911)&gt;0,2,3))</f>
        <v>1</v>
      </c>
      <c r="P189" s="623">
        <f>IF(P187&gt;0,1,IF(SUM($E$191:P1911)&gt;0,2,3))</f>
        <v>1</v>
      </c>
      <c r="Q189" s="623">
        <f>IF(Q187&gt;0,1,IF(SUM($E$191:Q1911)&gt;0,2,3))</f>
        <v>1</v>
      </c>
      <c r="R189" s="623">
        <f>IF(R187&gt;0,1,IF(SUM($E$191:R1911)&gt;0,2,3))</f>
        <v>1</v>
      </c>
      <c r="S189" s="623">
        <f>IF(S187&gt;0,1,IF(SUM($E$191:S1911)&gt;0,2,3))</f>
        <v>1</v>
      </c>
      <c r="T189" s="623">
        <f>IF(T187&gt;0,1,IF(SUM($E$191:T1911)&gt;0,2,3))</f>
        <v>1</v>
      </c>
      <c r="U189" s="623">
        <f>IF(U187&gt;0,1,IF(SUM($E$191:U1911)&gt;0,2,3))</f>
        <v>1</v>
      </c>
      <c r="V189" s="623">
        <f>IF(V187&gt;0,1,IF(SUM($E$191:V1911)&gt;0,2,3))</f>
        <v>1</v>
      </c>
      <c r="W189" s="623">
        <f>IF(W187&gt;0,1,IF(SUM($E$191:W1911)&gt;0,2,3))</f>
        <v>1</v>
      </c>
      <c r="X189" s="623">
        <f>IF(X187&gt;0,1,IF(SUM($E$191:X1911)&gt;0,2,3))</f>
        <v>1</v>
      </c>
      <c r="Y189" s="623">
        <f>IF(Y187&gt;0,1,IF(SUM($E$191:Y1911)&gt;0,2,3))</f>
        <v>1</v>
      </c>
      <c r="Z189" s="623">
        <f>IF(Z187&gt;0,1,IF(SUM($E$191:Z1911)&gt;0,2,3))</f>
        <v>1</v>
      </c>
      <c r="AA189" s="623">
        <f>IF(AA187&gt;0,1,IF(SUM($E$191:AA1911)&gt;0,2,3))</f>
        <v>1</v>
      </c>
      <c r="AB189" s="623">
        <f>IF(AB187&gt;0,1,IF(SUM($E$191:AB1911)&gt;0,2,3))</f>
        <v>1</v>
      </c>
      <c r="AC189" s="623">
        <f>IF(AC187&gt;0,1,IF(SUM($E$191:AC1911)&gt;0,2,3))</f>
        <v>1</v>
      </c>
      <c r="AD189" s="623">
        <f>IF(AD187&gt;0,1,IF(SUM($E$191:AD1911)&gt;0,2,3))</f>
        <v>1</v>
      </c>
      <c r="AE189" s="623">
        <f>IF(AE187&gt;0,1,IF(SUM($E$191:AE191)&gt;0,2,3))</f>
        <v>1</v>
      </c>
      <c r="AF189" s="623">
        <f>IF(AF187&gt;0,1,IF(SUM($E$191:AF191)&gt;0,2,3))</f>
        <v>1</v>
      </c>
      <c r="AG189" s="623">
        <f>IF(AG187&gt;0,1,IF(SUM($E$191:AG191)&gt;0,2,3))</f>
        <v>1</v>
      </c>
      <c r="AH189" s="623">
        <f>IF(AH187&gt;0,1,IF(SUM($E$191:AH191)&gt;0,2,3))</f>
        <v>1</v>
      </c>
      <c r="AI189" s="623">
        <f>IF(AI187&gt;0,1,IF(SUM($E$191:AI191)&gt;0,2,3))</f>
        <v>1</v>
      </c>
      <c r="AJ189" s="623">
        <f>IF(AJ187&gt;0,1,IF(SUM($E$191:AJ191)&gt;0,2,3))</f>
        <v>1</v>
      </c>
      <c r="AK189" s="623">
        <f>IF(AK187&gt;0,1,IF(SUM($E$191:AK191)&gt;0,2,3))</f>
        <v>1</v>
      </c>
      <c r="AL189" s="623">
        <f>IF(AL187&gt;0,1,IF(SUM($E$191:AL191)&gt;0,2,3))</f>
        <v>1</v>
      </c>
      <c r="AM189" s="623">
        <f>IF(AM187&gt;0,1,IF(SUM($E$191:AM191)&gt;0,2,3))</f>
        <v>1</v>
      </c>
      <c r="AN189" s="623">
        <f>IF(AN187&gt;0,1,IF(SUM($E$191:AN191)&gt;0,2,3))</f>
        <v>1</v>
      </c>
      <c r="AO189" s="623">
        <f>IF(AO187&gt;0,1,IF(SUM($E$191:AO191)&gt;0,2,3))</f>
        <v>1</v>
      </c>
      <c r="AP189" s="623">
        <f>IF(AP187&gt;0,1,IF(SUM($E$191:AP191)&gt;0,2,3))</f>
        <v>1</v>
      </c>
      <c r="AQ189" s="623">
        <f>IF(AQ187&gt;0,1,IF(SUM($E$191:AQ191)&gt;0,2,3))</f>
        <v>1</v>
      </c>
      <c r="AR189" s="623">
        <f>IF(AR187&gt;0,1,IF(SUM($E$191:AR191)&gt;0,2,3))</f>
        <v>1</v>
      </c>
      <c r="AS189" s="623">
        <f>IF(AS187&gt;0,1,IF(SUM($E$190:AS190)&gt;0,2,3))</f>
        <v>1</v>
      </c>
      <c r="AT189" s="623">
        <f>IF(AT187&gt;0,1,IF(SUM($E$190:AT190)&gt;0,2,3))</f>
        <v>1</v>
      </c>
      <c r="AU189" s="623">
        <f>IF(AU187&gt;0,1,IF(SUM($E$190:AU190)&gt;0,2,3))</f>
        <v>1</v>
      </c>
      <c r="AV189" s="623">
        <f>IF(AV187&gt;0,1,IF(SUM($E$190:AV190)&gt;0,2,3))</f>
        <v>1</v>
      </c>
      <c r="AW189" s="623">
        <f>IF(AW187&gt;0,1,IF(SUM($E$190:AW190)&gt;0,2,3))</f>
        <v>1</v>
      </c>
      <c r="AX189" s="623">
        <f>IF(AX187&gt;0,1,IF(SUM($E$190:AX190)&gt;0,2,3))</f>
        <v>1</v>
      </c>
      <c r="AY189" s="623">
        <f>IF(AY187&gt;0,1,IF(SUM($E$190:AY190)&gt;0,2,3))</f>
        <v>2</v>
      </c>
      <c r="AZ189" s="623">
        <f>IF(AZ187&gt;0,1,IF(SUM($E$190:AZ190)&gt;0,2,3))</f>
        <v>2</v>
      </c>
      <c r="BA189" s="623">
        <f>IF(BA187&gt;0,1,IF(SUM($E$190:BA190)&gt;0,2,3))</f>
        <v>2</v>
      </c>
      <c r="BB189" s="623">
        <f>IF(BB187&gt;0,1,IF(SUM($E$190:BB190)&gt;0,2,3))</f>
        <v>2</v>
      </c>
      <c r="BC189" s="623">
        <f>IF(BC187&gt;0,1,IF(SUM($E$190:BC190)&gt;0,2,3))</f>
        <v>2</v>
      </c>
      <c r="BD189" s="623">
        <f>IF(BD187&gt;0,1,IF(SUM($E$190:BD190)&gt;0,2,3))</f>
        <v>2</v>
      </c>
      <c r="BE189" s="623">
        <f>IF(BE187&gt;0,1,IF(SUM($E$190:BE190)&gt;0,2,3))</f>
        <v>2</v>
      </c>
      <c r="BF189" s="623">
        <f>IF(BF187&gt;0,1,IF(SUM($E$190:BF190)&gt;0,2,3))</f>
        <v>2</v>
      </c>
      <c r="BG189" s="623">
        <f>IF(BG187&gt;0,1,IF(SUM($E$190:BG190)&gt;0,2,3))</f>
        <v>2</v>
      </c>
      <c r="BH189" s="623">
        <f>IF(BH187&gt;0,1,IF(SUM($E$190:BH190)&gt;0,2,3))</f>
        <v>2</v>
      </c>
      <c r="BI189" s="623">
        <f>IF(BI187&gt;0,1,IF(SUM($E$190:BI190)&gt;0,2,3))</f>
        <v>2</v>
      </c>
      <c r="BJ189" s="623">
        <f>IF(BJ187&gt;0,1,IF(SUM($E$190:BJ190)&gt;0,2,3))</f>
        <v>2</v>
      </c>
      <c r="BK189" s="623">
        <f>IF(BK187&gt;0,1,IF(SUM($E$190:BK190)&gt;0,2,3))</f>
        <v>2</v>
      </c>
      <c r="BL189" s="623">
        <f>IF(BL187&gt;0,1,IF(SUM($E$190:BL190)&gt;0,2,3))</f>
        <v>2</v>
      </c>
      <c r="BM189" s="623">
        <f>IF(BM187&gt;0,1,IF(SUM($E$190:BM190)&gt;0,2,3))</f>
        <v>2</v>
      </c>
      <c r="BN189" s="623">
        <f>IF(BN187&gt;0,1,IF(SUM($E$190:BN190)&gt;0,2,3))</f>
        <v>2</v>
      </c>
      <c r="BO189" s="623">
        <f>IF(BO187&gt;0,1,IF(SUM($E$190:BO190)&gt;0,2,3))</f>
        <v>2</v>
      </c>
      <c r="BP189" s="623">
        <f>IF(BP187&gt;0,1,IF(SUM($E$190:BP190)&gt;0,2,3))</f>
        <v>2</v>
      </c>
      <c r="BQ189" s="623">
        <f>IF(BQ187&gt;0,1,IF(SUM($E$190:BQ190)&gt;0,2,3))</f>
        <v>2</v>
      </c>
      <c r="BR189" s="623">
        <f>IF(BR187&gt;0,1,IF(SUM($E$190:BR190)&gt;0,2,3))</f>
        <v>2</v>
      </c>
      <c r="BS189" s="623">
        <f>IF(BS187&gt;0,1,IF(SUM($E$190:BS190)&gt;0,2,3))</f>
        <v>2</v>
      </c>
      <c r="BT189" s="623">
        <f>IF(BT187&gt;0,1,IF(SUM($E$190:BT190)&gt;0,2,3))</f>
        <v>2</v>
      </c>
      <c r="BU189" s="623">
        <f>IF(BU187&gt;0,1,IF(SUM($E$190:BU190)&gt;0,2,3))</f>
        <v>2</v>
      </c>
      <c r="BV189" s="623">
        <f>IF(BV187&gt;0,1,IF(SUM($E$190:BV190)&gt;0,2,3))</f>
        <v>2</v>
      </c>
      <c r="BW189" s="623">
        <f>IF(BW187&gt;0,1,IF(SUM($E$190:BW190)&gt;0,2,3))</f>
        <v>2</v>
      </c>
      <c r="BX189" s="623">
        <f>IF(BX187&gt;0,1,IF(SUM($E$190:BX190)&gt;0,2,3))</f>
        <v>2</v>
      </c>
      <c r="BY189" s="623">
        <f>IF(BY187&gt;0,1,IF(SUM($E$190:BY190)&gt;0,2,3))</f>
        <v>2</v>
      </c>
      <c r="BZ189" s="623">
        <f>IF(BZ187&gt;0,1,IF(SUM($E$190:BZ190)&gt;0,2,3))</f>
        <v>2</v>
      </c>
      <c r="CA189" s="623">
        <f>IF(CA187&gt;0,1,IF(SUM($E$190:CA190)&gt;0,2,3))</f>
        <v>2</v>
      </c>
      <c r="CB189" s="623">
        <f>IF(CB187&gt;0,1,IF(SUM($E$190:CB190)&gt;0,2,3))</f>
        <v>2</v>
      </c>
      <c r="CC189" s="623">
        <f>IF(CC187&gt;0,1,IF(SUM($E$190:CC190)&gt;0,2,3))</f>
        <v>2</v>
      </c>
      <c r="CD189" s="623">
        <f>IF(CD187&gt;0,1,IF(SUM($E$190:CD190)&gt;0,2,3))</f>
        <v>2</v>
      </c>
      <c r="CE189" s="623">
        <f>IF(CE187&gt;0,1,IF(SUM($E$190:CE190)&gt;0,3))</f>
        <v>3</v>
      </c>
      <c r="CF189" s="623">
        <f>IF(CF187&gt;0,1,IF(SUM($E$190:CF190)&gt;0,3))</f>
        <v>3</v>
      </c>
      <c r="CG189" s="623">
        <f>IF(CG187&gt;0,1,IF(SUM($E$190:CG190)&gt;0,3))</f>
        <v>3</v>
      </c>
      <c r="CH189" s="623">
        <f>IF(CH187&gt;0,1,IF(SUM($E$190:CH190)&gt;0,3))</f>
        <v>3</v>
      </c>
      <c r="CI189" s="623">
        <f>IF(CI187&gt;0,1,IF(SUM($E$190:CI190)&gt;0,3))</f>
        <v>3</v>
      </c>
      <c r="CJ189" s="623">
        <f>IF(CJ187&gt;0,1,IF(SUM($E$190:CJ190)&gt;0,3))</f>
        <v>3</v>
      </c>
      <c r="CK189" s="623">
        <f>IF(CK187&gt;0,1,IF(SUM($E$190:CK190)&gt;0,3))</f>
        <v>3</v>
      </c>
      <c r="CL189" s="623">
        <f>IF(CL187&gt;0,1,IF(SUM($E$190:CL190)&gt;0,3))</f>
        <v>3</v>
      </c>
      <c r="CM189" s="623">
        <f>IF(CM187&gt;0,1,IF(SUM($E$190:CM190)&gt;0,3))</f>
        <v>3</v>
      </c>
      <c r="CN189" s="623">
        <f>IF(CN187&gt;0,1,IF(SUM($E$190:CN190)&gt;0,3))</f>
        <v>3</v>
      </c>
      <c r="CO189" s="623">
        <f>IF(CO187&gt;0,1,IF(SUM($E$190:CO190)&gt;0,3))</f>
        <v>3</v>
      </c>
      <c r="CP189" s="623">
        <f>IF(CP187&gt;0,1,IF(SUM($E$190:CP190)&gt;0,3))</f>
        <v>3</v>
      </c>
      <c r="CQ189" s="623">
        <f>IF(CQ187&gt;0,1,IF(SUM($E$190:CQ190)&gt;0,3))</f>
        <v>3</v>
      </c>
      <c r="CR189" s="118"/>
      <c r="CS189" s="118"/>
      <c r="CT189" s="118"/>
      <c r="CU189" s="118"/>
      <c r="CV189" s="118"/>
      <c r="CW189" s="118"/>
      <c r="CX189" s="118"/>
      <c r="CY189" s="118"/>
      <c r="CZ189" s="118"/>
      <c r="DA189" s="118"/>
      <c r="DB189" s="118"/>
      <c r="DC189" s="71"/>
      <c r="DD189" s="71"/>
      <c r="DE189" s="71"/>
      <c r="DF189" s="71"/>
      <c r="DG189" s="71"/>
      <c r="DH189" s="71"/>
      <c r="DI189" s="71"/>
      <c r="DJ189" s="71"/>
      <c r="DK189" s="71"/>
    </row>
    <row r="190" spans="1:117" ht="14.25" customHeight="1" x14ac:dyDescent="0.4">
      <c r="A190" s="37"/>
      <c r="B190" s="24" t="s">
        <v>635</v>
      </c>
      <c r="C190" s="88"/>
      <c r="D190" s="49"/>
      <c r="E190" s="535"/>
      <c r="F190" s="565"/>
      <c r="G190" s="565"/>
      <c r="H190" s="565"/>
      <c r="I190" s="565"/>
      <c r="J190" s="565"/>
      <c r="K190" s="565"/>
      <c r="L190" s="565"/>
      <c r="M190" s="565"/>
      <c r="N190" s="565"/>
      <c r="O190" s="565"/>
      <c r="P190" s="565"/>
      <c r="Q190" s="566"/>
      <c r="R190" s="565"/>
      <c r="S190" s="565"/>
      <c r="T190" s="565"/>
      <c r="U190" s="565"/>
      <c r="V190" s="565"/>
      <c r="W190" s="565"/>
      <c r="X190" s="565"/>
      <c r="Y190" s="565"/>
      <c r="Z190" s="565"/>
      <c r="AA190" s="565"/>
      <c r="AB190" s="565"/>
      <c r="AC190" s="565"/>
      <c r="AD190" s="566"/>
      <c r="AE190" s="565">
        <f t="shared" ref="AE190:AP190" si="654">AE170*(28%-9.6%)</f>
        <v>6833484.4130131071</v>
      </c>
      <c r="AF190" s="565">
        <f t="shared" si="654"/>
        <v>14740002.019143049</v>
      </c>
      <c r="AG190" s="565">
        <f t="shared" si="654"/>
        <v>13875945.950513931</v>
      </c>
      <c r="AH190" s="565">
        <f t="shared" si="654"/>
        <v>11850297.222558673</v>
      </c>
      <c r="AI190" s="565">
        <f t="shared" si="654"/>
        <v>18790690.44728956</v>
      </c>
      <c r="AJ190" s="565">
        <f t="shared" si="654"/>
        <v>20537155.638020448</v>
      </c>
      <c r="AK190" s="565">
        <f t="shared" si="654"/>
        <v>21646230.095871329</v>
      </c>
      <c r="AL190" s="565">
        <f t="shared" si="654"/>
        <v>22307956.041055553</v>
      </c>
      <c r="AM190" s="565">
        <f t="shared" si="654"/>
        <v>22640650.213055551</v>
      </c>
      <c r="AN190" s="565">
        <f t="shared" si="654"/>
        <v>22637246.213055551</v>
      </c>
      <c r="AO190" s="565">
        <f t="shared" si="654"/>
        <v>22640926.213055551</v>
      </c>
      <c r="AP190" s="565">
        <f t="shared" si="654"/>
        <v>22640650.213055551</v>
      </c>
      <c r="AQ190" s="566">
        <f>SUM(AE190:AP190)</f>
        <v>221141234.67968786</v>
      </c>
      <c r="AR190" s="565">
        <f t="shared" ref="AR190:AX190" si="655">AR170*(28%-9.6%)</f>
        <v>15095785.059289604</v>
      </c>
      <c r="AS190" s="565">
        <f t="shared" si="655"/>
        <v>22637654.79439196</v>
      </c>
      <c r="AT190" s="565">
        <f t="shared" si="655"/>
        <v>22637378.79439196</v>
      </c>
      <c r="AU190" s="565">
        <f t="shared" si="655"/>
        <v>22634894.79439196</v>
      </c>
      <c r="AV190" s="565">
        <f t="shared" si="655"/>
        <v>22637654.79439196</v>
      </c>
      <c r="AW190" s="565">
        <f t="shared" si="655"/>
        <v>22637378.79439196</v>
      </c>
      <c r="AX190" s="565">
        <f t="shared" si="655"/>
        <v>22634894.79439196</v>
      </c>
      <c r="AY190" s="565"/>
      <c r="AZ190" s="565"/>
      <c r="BA190" s="565"/>
      <c r="BB190" s="565"/>
      <c r="BC190" s="565"/>
      <c r="BD190" s="566"/>
      <c r="BE190" s="565">
        <f t="shared" ref="BE190:BP190" si="656">((BE172+BE173)*0.58)</f>
        <v>0</v>
      </c>
      <c r="BF190" s="565">
        <f t="shared" si="656"/>
        <v>0</v>
      </c>
      <c r="BG190" s="565">
        <f t="shared" si="656"/>
        <v>0</v>
      </c>
      <c r="BH190" s="565">
        <f t="shared" si="656"/>
        <v>0</v>
      </c>
      <c r="BI190" s="565">
        <f t="shared" si="656"/>
        <v>0</v>
      </c>
      <c r="BJ190" s="565">
        <f t="shared" si="656"/>
        <v>0</v>
      </c>
      <c r="BK190" s="565">
        <f t="shared" si="656"/>
        <v>0</v>
      </c>
      <c r="BL190" s="565">
        <f t="shared" si="656"/>
        <v>0</v>
      </c>
      <c r="BM190" s="565">
        <f t="shared" si="656"/>
        <v>0</v>
      </c>
      <c r="BN190" s="565">
        <f t="shared" si="656"/>
        <v>0</v>
      </c>
      <c r="BO190" s="565">
        <f t="shared" si="656"/>
        <v>0</v>
      </c>
      <c r="BP190" s="565">
        <f t="shared" si="656"/>
        <v>0</v>
      </c>
      <c r="BQ190" s="566"/>
      <c r="BR190" s="565"/>
      <c r="BS190" s="565"/>
      <c r="BT190" s="565"/>
      <c r="BU190" s="565"/>
      <c r="BV190" s="565"/>
      <c r="BW190" s="565"/>
      <c r="BX190" s="565"/>
      <c r="BY190" s="565"/>
      <c r="BZ190" s="565"/>
      <c r="CA190" s="565"/>
      <c r="CB190" s="565"/>
      <c r="CC190" s="565"/>
      <c r="CD190" s="566"/>
      <c r="CE190" s="565"/>
      <c r="CF190" s="565"/>
      <c r="CG190" s="565"/>
      <c r="CH190" s="565"/>
      <c r="CI190" s="565"/>
      <c r="CJ190" s="565"/>
      <c r="CK190" s="565"/>
      <c r="CL190" s="565"/>
      <c r="CM190" s="565"/>
      <c r="CN190" s="565"/>
      <c r="CO190" s="565"/>
      <c r="CP190" s="576"/>
      <c r="CQ190" s="49"/>
      <c r="CR190" s="49"/>
      <c r="CS190" s="49"/>
      <c r="CT190" s="49"/>
      <c r="CU190" s="49"/>
      <c r="CV190" s="49"/>
      <c r="CW190" s="49"/>
      <c r="CX190" s="49"/>
      <c r="CY190" s="49"/>
      <c r="CZ190" s="49"/>
      <c r="DA190" s="49"/>
      <c r="DB190" s="49"/>
      <c r="DC190" s="24"/>
      <c r="DD190" s="24"/>
      <c r="DE190" s="24"/>
      <c r="DF190" s="24"/>
      <c r="DG190" s="24"/>
      <c r="DH190" s="24"/>
      <c r="DI190" s="24"/>
      <c r="DJ190" s="24"/>
      <c r="DK190" s="24"/>
    </row>
    <row r="191" spans="1:117" ht="14.25" customHeight="1" x14ac:dyDescent="0.4">
      <c r="A191" s="37"/>
      <c r="B191" s="24" t="s">
        <v>636</v>
      </c>
      <c r="C191" s="88"/>
      <c r="D191" s="49"/>
      <c r="E191" s="535"/>
      <c r="F191" s="565"/>
      <c r="G191" s="565"/>
      <c r="H191" s="565"/>
      <c r="I191" s="565"/>
      <c r="J191" s="565"/>
      <c r="K191" s="565"/>
      <c r="L191" s="565"/>
      <c r="M191" s="565"/>
      <c r="N191" s="565"/>
      <c r="O191" s="565"/>
      <c r="P191" s="565"/>
      <c r="Q191" s="566"/>
      <c r="R191" s="565"/>
      <c r="S191" s="565"/>
      <c r="T191" s="565"/>
      <c r="U191" s="565"/>
      <c r="V191" s="565"/>
      <c r="W191" s="565"/>
      <c r="X191" s="565"/>
      <c r="Y191" s="565"/>
      <c r="Z191" s="565"/>
      <c r="AA191" s="565"/>
      <c r="AB191" s="565"/>
      <c r="AC191" s="565"/>
      <c r="AD191" s="566"/>
      <c r="AE191" s="565"/>
      <c r="AF191" s="565"/>
      <c r="AG191" s="565"/>
      <c r="AH191" s="565"/>
      <c r="AI191" s="565"/>
      <c r="AJ191" s="565"/>
      <c r="AK191" s="565"/>
      <c r="AL191" s="565"/>
      <c r="AM191" s="565"/>
      <c r="AN191" s="565"/>
      <c r="AO191" s="565"/>
      <c r="AP191" s="565"/>
      <c r="AQ191" s="566"/>
      <c r="AR191" s="565"/>
      <c r="AS191" s="565"/>
      <c r="AT191" s="565"/>
      <c r="AU191" s="565"/>
      <c r="AV191" s="565"/>
      <c r="AW191" s="565"/>
      <c r="AX191" s="565"/>
      <c r="AY191" s="565">
        <f>-AY170*0.104</f>
        <v>-12795196.188134583</v>
      </c>
      <c r="AZ191" s="565">
        <f>-AZ170*0.104</f>
        <v>-12795040.188134583</v>
      </c>
      <c r="BA191" s="565">
        <f>-BA170*0.104</f>
        <v>-12793116.188134583</v>
      </c>
      <c r="BB191" s="565">
        <f>-BB170*0.104</f>
        <v>-12795196.188134583</v>
      </c>
      <c r="BC191" s="565">
        <f>-BC170*0.104</f>
        <v>-12795040.188134583</v>
      </c>
      <c r="BD191" s="565">
        <f>SUM(AY191:BC191)</f>
        <v>-63973588.940672912</v>
      </c>
      <c r="BE191" s="565">
        <f t="shared" ref="BE191:BN191" si="657">-BE170*0.104</f>
        <v>-10498612.33317895</v>
      </c>
      <c r="BF191" s="565">
        <f t="shared" si="657"/>
        <v>-12793603.882902766</v>
      </c>
      <c r="BG191" s="565">
        <f t="shared" si="657"/>
        <v>-12793369.142422764</v>
      </c>
      <c r="BH191" s="565">
        <f t="shared" si="657"/>
        <v>-12791965.142422764</v>
      </c>
      <c r="BI191" s="565">
        <f t="shared" si="657"/>
        <v>-12793443.252323564</v>
      </c>
      <c r="BJ191" s="565">
        <f t="shared" si="657"/>
        <v>-12793287.252323564</v>
      </c>
      <c r="BK191" s="565">
        <f t="shared" si="657"/>
        <v>-12791798.086620396</v>
      </c>
      <c r="BL191" s="565">
        <f t="shared" si="657"/>
        <v>-12793358.086620396</v>
      </c>
      <c r="BM191" s="565">
        <f t="shared" si="657"/>
        <v>-12793113.514289103</v>
      </c>
      <c r="BN191" s="565">
        <f t="shared" si="657"/>
        <v>-12791189.514289102</v>
      </c>
      <c r="BO191" s="565">
        <f t="shared" ref="BO191:BT191" si="658">-BO170*0.104</f>
        <v>-12793177.399064554</v>
      </c>
      <c r="BP191" s="565">
        <f t="shared" si="658"/>
        <v>-12793021.399064554</v>
      </c>
      <c r="BQ191" s="566">
        <f>SUM(BE191:BP191)</f>
        <v>-151219939.00552246</v>
      </c>
      <c r="BR191" s="565">
        <f t="shared" si="658"/>
        <v>-12653312.910751343</v>
      </c>
      <c r="BS191" s="565">
        <f t="shared" si="658"/>
        <v>-12791555.696472</v>
      </c>
      <c r="BT191" s="565">
        <f t="shared" si="658"/>
        <v>-12791399.696472</v>
      </c>
      <c r="BU191" s="565">
        <f t="shared" ref="BU191:BX191" si="659">-BU170*0.104</f>
        <v>-12789995.696472</v>
      </c>
      <c r="BV191" s="565">
        <f t="shared" si="659"/>
        <v>-12791555.696472</v>
      </c>
      <c r="BW191" s="565">
        <f t="shared" si="659"/>
        <v>-12791399.696472</v>
      </c>
      <c r="BX191" s="565">
        <f t="shared" si="659"/>
        <v>-12789995.696472</v>
      </c>
      <c r="BY191" s="565">
        <f t="shared" ref="BY191:CC191" si="660">-BY170*0.104</f>
        <v>-12791555.696472</v>
      </c>
      <c r="BZ191" s="565">
        <f t="shared" si="660"/>
        <v>-12791399.696472</v>
      </c>
      <c r="CA191" s="565">
        <f t="shared" si="660"/>
        <v>-12789475.696472</v>
      </c>
      <c r="CB191" s="565">
        <f t="shared" si="660"/>
        <v>-12791555.696472</v>
      </c>
      <c r="CC191" s="565">
        <f t="shared" si="660"/>
        <v>-12791399.696472</v>
      </c>
      <c r="CD191" s="566">
        <f>SUM(BR191:CC191)</f>
        <v>-153354601.57194334</v>
      </c>
      <c r="CE191" s="565">
        <f t="shared" ref="CE191:CF191" si="661">-CE170*0.104</f>
        <v>-14810290.118111975</v>
      </c>
      <c r="CF191" s="565">
        <f t="shared" si="661"/>
        <v>-13278204.589796521</v>
      </c>
      <c r="CG191" s="565"/>
      <c r="CH191" s="565"/>
      <c r="CI191" s="565"/>
      <c r="CJ191" s="565"/>
      <c r="CK191" s="565"/>
      <c r="CL191" s="565"/>
      <c r="CM191" s="565"/>
      <c r="CN191" s="565"/>
      <c r="CO191" s="565"/>
      <c r="CP191" s="576"/>
      <c r="CQ191" s="49"/>
      <c r="CR191" s="49"/>
      <c r="CS191" s="49"/>
      <c r="CT191" s="49"/>
      <c r="CU191" s="49"/>
      <c r="CV191" s="49"/>
      <c r="CW191" s="49"/>
      <c r="CX191" s="49"/>
      <c r="CY191" s="49"/>
      <c r="CZ191" s="49"/>
      <c r="DA191" s="49"/>
      <c r="DB191" s="49"/>
      <c r="DC191" s="24"/>
      <c r="DD191" s="24"/>
      <c r="DE191" s="24"/>
      <c r="DF191" s="24"/>
      <c r="DG191" s="24"/>
      <c r="DH191" s="24"/>
      <c r="DI191" s="24"/>
      <c r="DJ191" s="24"/>
      <c r="DK191" s="24"/>
    </row>
    <row r="192" spans="1:117" ht="14.25" customHeight="1" thickBot="1" x14ac:dyDescent="0.45">
      <c r="A192" s="37"/>
      <c r="B192" s="24" t="s">
        <v>634</v>
      </c>
      <c r="C192" s="88"/>
      <c r="D192" s="49"/>
      <c r="E192" s="538"/>
      <c r="F192" s="538"/>
      <c r="G192" s="538"/>
      <c r="H192" s="538"/>
      <c r="I192" s="538"/>
      <c r="J192" s="538"/>
      <c r="K192" s="538"/>
      <c r="L192" s="538"/>
      <c r="M192" s="538"/>
      <c r="N192" s="538"/>
      <c r="O192" s="538"/>
      <c r="P192" s="538"/>
      <c r="Q192" s="540"/>
      <c r="R192" s="538"/>
      <c r="S192" s="538"/>
      <c r="T192" s="538"/>
      <c r="U192" s="538"/>
      <c r="V192" s="538"/>
      <c r="W192" s="538"/>
      <c r="X192" s="538"/>
      <c r="Y192" s="538"/>
      <c r="Z192" s="538"/>
      <c r="AA192" s="538"/>
      <c r="AB192" s="538"/>
      <c r="AC192" s="538"/>
      <c r="AD192" s="540"/>
      <c r="AE192" s="538">
        <f>AD192+AE190</f>
        <v>6833484.4130131071</v>
      </c>
      <c r="AF192" s="538">
        <f t="shared" ref="AF192:AR192" si="662">AE192+AF190</f>
        <v>21573486.432156157</v>
      </c>
      <c r="AG192" s="538">
        <f t="shared" si="662"/>
        <v>35449432.38267009</v>
      </c>
      <c r="AH192" s="538">
        <f t="shared" si="662"/>
        <v>47299729.605228767</v>
      </c>
      <c r="AI192" s="538">
        <f t="shared" si="662"/>
        <v>66090420.052518323</v>
      </c>
      <c r="AJ192" s="538">
        <f t="shared" si="662"/>
        <v>86627575.690538764</v>
      </c>
      <c r="AK192" s="538">
        <f t="shared" si="662"/>
        <v>108273805.78641009</v>
      </c>
      <c r="AL192" s="538">
        <f t="shared" si="662"/>
        <v>130581761.82746565</v>
      </c>
      <c r="AM192" s="538">
        <f t="shared" si="662"/>
        <v>153222412.0405212</v>
      </c>
      <c r="AN192" s="538">
        <f t="shared" si="662"/>
        <v>175859658.25357676</v>
      </c>
      <c r="AO192" s="538">
        <f t="shared" si="662"/>
        <v>198500584.46663231</v>
      </c>
      <c r="AP192" s="538">
        <f t="shared" si="662"/>
        <v>221141234.67968786</v>
      </c>
      <c r="AQ192" s="540">
        <f>AP192</f>
        <v>221141234.67968786</v>
      </c>
      <c r="AR192" s="538">
        <f t="shared" si="662"/>
        <v>236237019.73897746</v>
      </c>
      <c r="AS192" s="538">
        <f t="shared" ref="AS192" si="663">AR192+AS190</f>
        <v>258874674.53336942</v>
      </c>
      <c r="AT192" s="538">
        <f t="shared" ref="AT192" si="664">AS192+AT190</f>
        <v>281512053.32776141</v>
      </c>
      <c r="AU192" s="538">
        <f t="shared" ref="AU192" si="665">AT192+AU190</f>
        <v>304146948.1221534</v>
      </c>
      <c r="AV192" s="538">
        <f t="shared" ref="AV192" si="666">AU192+AV190</f>
        <v>326784602.91654539</v>
      </c>
      <c r="AW192" s="538">
        <f t="shared" ref="AW192" si="667">AV192+AW190</f>
        <v>349421981.71093738</v>
      </c>
      <c r="AX192" s="538">
        <f t="shared" ref="AX192" si="668">AW192+AX190</f>
        <v>372056876.50532937</v>
      </c>
      <c r="AY192" s="565">
        <f>AX192+AY190+AY191</f>
        <v>359261680.31719476</v>
      </c>
      <c r="AZ192" s="565">
        <f>AY192+AZ190+AZ191</f>
        <v>346466640.12906015</v>
      </c>
      <c r="BA192" s="565">
        <f>AZ192+BA190+BA191</f>
        <v>333673523.94092554</v>
      </c>
      <c r="BB192" s="565">
        <f>BA192+BB190+BB191</f>
        <v>320878327.75279093</v>
      </c>
      <c r="BC192" s="565">
        <f>BB192+BC190+BC191</f>
        <v>308083287.56465632</v>
      </c>
      <c r="BD192" s="540">
        <f>BC192</f>
        <v>308083287.56465632</v>
      </c>
      <c r="BE192" s="538">
        <f>BD192+BE191</f>
        <v>297584675.23147738</v>
      </c>
      <c r="BF192" s="538">
        <f t="shared" ref="BF192:BN192" si="669">BE192+BF191</f>
        <v>284791071.34857464</v>
      </c>
      <c r="BG192" s="538">
        <f t="shared" si="669"/>
        <v>271997702.2061519</v>
      </c>
      <c r="BH192" s="538">
        <f t="shared" si="669"/>
        <v>259205737.06372914</v>
      </c>
      <c r="BI192" s="538">
        <f t="shared" si="669"/>
        <v>246412293.81140557</v>
      </c>
      <c r="BJ192" s="538">
        <f t="shared" si="669"/>
        <v>233619006.559082</v>
      </c>
      <c r="BK192" s="538">
        <f t="shared" si="669"/>
        <v>220827208.47246161</v>
      </c>
      <c r="BL192" s="538">
        <f t="shared" si="669"/>
        <v>208033850.38584122</v>
      </c>
      <c r="BM192" s="538">
        <f t="shared" si="669"/>
        <v>195240736.87155211</v>
      </c>
      <c r="BN192" s="538">
        <f t="shared" si="669"/>
        <v>182449547.357263</v>
      </c>
      <c r="BO192" s="538">
        <f t="shared" ref="BO192" si="670">BN192+BO191</f>
        <v>169656369.95819846</v>
      </c>
      <c r="BP192" s="538">
        <f t="shared" ref="BP192" si="671">BO192+BP191</f>
        <v>156863348.55913392</v>
      </c>
      <c r="BQ192" s="540">
        <f>BP192</f>
        <v>156863348.55913392</v>
      </c>
      <c r="BR192" s="538">
        <f t="shared" ref="BR192" si="672">BQ192+BR191</f>
        <v>144210035.64838257</v>
      </c>
      <c r="BS192" s="538">
        <f t="shared" ref="BS192" si="673">BR192+BS191</f>
        <v>131418479.95191057</v>
      </c>
      <c r="BT192" s="538">
        <f t="shared" ref="BT192" si="674">BS192+BT191</f>
        <v>118627080.25543857</v>
      </c>
      <c r="BU192" s="538">
        <f t="shared" ref="BU192" si="675">BT192+BU191</f>
        <v>105837084.55896656</v>
      </c>
      <c r="BV192" s="538">
        <f t="shared" ref="BV192" si="676">BU192+BV191</f>
        <v>93045528.862494558</v>
      </c>
      <c r="BW192" s="538">
        <f t="shared" ref="BW192" si="677">BV192+BW191</f>
        <v>80254129.166022554</v>
      </c>
      <c r="BX192" s="538">
        <f t="shared" ref="BX192" si="678">BW192+BX191</f>
        <v>67464133.46955055</v>
      </c>
      <c r="BY192" s="538">
        <f t="shared" ref="BY192" si="679">BX192+BY191</f>
        <v>54672577.773078546</v>
      </c>
      <c r="BZ192" s="538">
        <f t="shared" ref="BZ192" si="680">BY192+BZ191</f>
        <v>41881178.076606542</v>
      </c>
      <c r="CA192" s="538">
        <f t="shared" ref="CA192" si="681">BZ192+CA191</f>
        <v>29091702.380134542</v>
      </c>
      <c r="CB192" s="538">
        <f t="shared" ref="CB192" si="682">CA192+CB191</f>
        <v>16300146.683662541</v>
      </c>
      <c r="CC192" s="538">
        <f t="shared" ref="CC192:CF192" si="683">CB192+CC191</f>
        <v>3508746.9871905409</v>
      </c>
      <c r="CD192" s="540">
        <f>CC192</f>
        <v>3508746.9871905409</v>
      </c>
      <c r="CE192" s="538">
        <f t="shared" si="683"/>
        <v>-11301543.130921435</v>
      </c>
      <c r="CF192" s="538">
        <f t="shared" si="683"/>
        <v>-24579747.720717955</v>
      </c>
      <c r="CG192" s="538"/>
      <c r="CH192" s="538"/>
      <c r="CI192" s="538"/>
      <c r="CJ192" s="538"/>
      <c r="CK192" s="538"/>
      <c r="CL192" s="538"/>
      <c r="CM192" s="538"/>
      <c r="CN192" s="538"/>
      <c r="CO192" s="538"/>
      <c r="CP192" s="556"/>
      <c r="CQ192" s="49"/>
      <c r="CR192" s="49"/>
      <c r="CS192" s="49"/>
      <c r="CT192" s="49"/>
      <c r="CU192" s="49"/>
      <c r="CV192" s="49"/>
      <c r="CW192" s="49"/>
      <c r="CX192" s="49"/>
      <c r="CY192" s="49"/>
      <c r="CZ192" s="49"/>
      <c r="DA192" s="49"/>
      <c r="DB192" s="49"/>
      <c r="DC192" s="24"/>
      <c r="DD192" s="24"/>
      <c r="DE192" s="24"/>
      <c r="DF192" s="24"/>
      <c r="DG192" s="24"/>
      <c r="DH192" s="84"/>
      <c r="DI192" s="84"/>
      <c r="DJ192" s="84"/>
      <c r="DK192" s="84"/>
    </row>
    <row r="193" spans="1:115" ht="14.25" customHeight="1" x14ac:dyDescent="0.4">
      <c r="A193" s="37"/>
      <c r="B193" s="24" t="s">
        <v>637</v>
      </c>
      <c r="C193" s="88">
        <f>CP193</f>
        <v>1966702334.8846705</v>
      </c>
      <c r="D193" s="49"/>
      <c r="E193" s="538"/>
      <c r="F193" s="538"/>
      <c r="G193" s="538"/>
      <c r="H193" s="538"/>
      <c r="I193" s="538"/>
      <c r="J193" s="538"/>
      <c r="K193" s="538"/>
      <c r="L193" s="538"/>
      <c r="M193" s="538"/>
      <c r="N193" s="538"/>
      <c r="O193" s="538"/>
      <c r="P193" s="538"/>
      <c r="Q193" s="540"/>
      <c r="R193" s="538"/>
      <c r="S193" s="538"/>
      <c r="T193" s="538"/>
      <c r="U193" s="538"/>
      <c r="V193" s="538"/>
      <c r="W193" s="538"/>
      <c r="X193" s="538"/>
      <c r="Y193" s="538"/>
      <c r="Z193" s="538"/>
      <c r="AA193" s="538"/>
      <c r="AB193" s="538"/>
      <c r="AC193" s="538"/>
      <c r="AD193" s="540"/>
      <c r="AE193" s="538">
        <f t="shared" ref="AE193:AP193" si="684">AE173+AE175+AE177+AD193</f>
        <v>3565296.2154850988</v>
      </c>
      <c r="AF193" s="538">
        <f t="shared" si="684"/>
        <v>11255732.051559731</v>
      </c>
      <c r="AG193" s="538">
        <f t="shared" si="684"/>
        <v>18495356.025740914</v>
      </c>
      <c r="AH193" s="538">
        <f t="shared" si="684"/>
        <v>24678119.794032395</v>
      </c>
      <c r="AI193" s="538">
        <f t="shared" si="684"/>
        <v>34481958.288270429</v>
      </c>
      <c r="AJ193" s="538">
        <f t="shared" si="684"/>
        <v>45196996.012455009</v>
      </c>
      <c r="AK193" s="538">
        <f t="shared" si="684"/>
        <v>56490681.279866137</v>
      </c>
      <c r="AL193" s="538">
        <f t="shared" si="684"/>
        <v>68129614.86650382</v>
      </c>
      <c r="AM193" s="538">
        <f t="shared" si="684"/>
        <v>79942128.021141499</v>
      </c>
      <c r="AN193" s="538">
        <f t="shared" si="684"/>
        <v>91752865.175779179</v>
      </c>
      <c r="AO193" s="538">
        <f t="shared" si="684"/>
        <v>103565522.33041686</v>
      </c>
      <c r="AP193" s="538">
        <f t="shared" si="684"/>
        <v>115378035.48505454</v>
      </c>
      <c r="AQ193" s="540">
        <f>AP193</f>
        <v>115378035.48505454</v>
      </c>
      <c r="AR193" s="538">
        <f>AR173+AR175+AR177+AP193</f>
        <v>123254097.25511868</v>
      </c>
      <c r="AS193" s="538">
        <f t="shared" ref="AS193:BC193" si="685">AS173+AS175+AS177+AR193</f>
        <v>135065047.58262753</v>
      </c>
      <c r="AT193" s="538">
        <f t="shared" si="685"/>
        <v>146875853.91013637</v>
      </c>
      <c r="AU193" s="538">
        <f t="shared" si="685"/>
        <v>158685364.23764521</v>
      </c>
      <c r="AV193" s="538">
        <f t="shared" si="685"/>
        <v>170496314.56515405</v>
      </c>
      <c r="AW193" s="538">
        <f t="shared" si="685"/>
        <v>182307120.89266288</v>
      </c>
      <c r="AX193" s="538">
        <f t="shared" si="685"/>
        <v>194116631.22017172</v>
      </c>
      <c r="AY193" s="565">
        <f t="shared" si="685"/>
        <v>205927581.54768056</v>
      </c>
      <c r="AZ193" s="538">
        <f t="shared" si="685"/>
        <v>253170806.85771593</v>
      </c>
      <c r="BA193" s="538">
        <f t="shared" si="685"/>
        <v>300406928.16775131</v>
      </c>
      <c r="BB193" s="565">
        <f t="shared" si="685"/>
        <v>347650729.47778672</v>
      </c>
      <c r="BC193" s="538">
        <f t="shared" si="685"/>
        <v>394893954.78782213</v>
      </c>
      <c r="BD193" s="540">
        <f>BC193</f>
        <v>394893954.78782213</v>
      </c>
      <c r="BE193" s="538">
        <f>BE173+BE175+BE177+BC193</f>
        <v>433658061.8641752</v>
      </c>
      <c r="BF193" s="538">
        <f t="shared" ref="BF193:BP193" si="686">BF173+BF175+BF177+BE193</f>
        <v>480895983.89335465</v>
      </c>
      <c r="BG193" s="538">
        <f t="shared" si="686"/>
        <v>528133039.18845409</v>
      </c>
      <c r="BH193" s="538">
        <f t="shared" si="686"/>
        <v>575364910.48355353</v>
      </c>
      <c r="BI193" s="538">
        <f t="shared" si="686"/>
        <v>622602239.41520977</v>
      </c>
      <c r="BJ193" s="538">
        <f t="shared" si="686"/>
        <v>669838992.34686601</v>
      </c>
      <c r="BK193" s="538">
        <f t="shared" si="686"/>
        <v>717070246.82054138</v>
      </c>
      <c r="BL193" s="538">
        <f t="shared" si="686"/>
        <v>764307261.29421663</v>
      </c>
      <c r="BM193" s="538">
        <f t="shared" si="686"/>
        <v>811543372.73159182</v>
      </c>
      <c r="BN193" s="538">
        <f t="shared" si="686"/>
        <v>858772380.16896701</v>
      </c>
      <c r="BO193" s="565">
        <f t="shared" si="686"/>
        <v>906008727.48859</v>
      </c>
      <c r="BP193" s="538">
        <f t="shared" si="686"/>
        <v>953244498.808213</v>
      </c>
      <c r="BQ193" s="540">
        <f>BP193</f>
        <v>953244498.808213</v>
      </c>
      <c r="BR193" s="538">
        <f>BR173+BR175+BR177+BP193</f>
        <v>999964423.40175641</v>
      </c>
      <c r="BS193" s="538">
        <f t="shared" ref="BS193:CC193" si="687">BS173+BS175+BS177+BR193</f>
        <v>1047194782.8964223</v>
      </c>
      <c r="BT193" s="538">
        <f t="shared" si="687"/>
        <v>1094424566.391088</v>
      </c>
      <c r="BU193" s="538">
        <f t="shared" si="687"/>
        <v>1141649165.8857539</v>
      </c>
      <c r="BV193" s="538">
        <f t="shared" si="687"/>
        <v>1188879525.3804197</v>
      </c>
      <c r="BW193" s="538">
        <f t="shared" si="687"/>
        <v>1236109308.8750856</v>
      </c>
      <c r="BX193" s="538">
        <f t="shared" si="687"/>
        <v>1283333908.3697515</v>
      </c>
      <c r="BY193" s="538">
        <f t="shared" si="687"/>
        <v>1330564267.8644173</v>
      </c>
      <c r="BZ193" s="538">
        <f t="shared" si="687"/>
        <v>1377794051.3590832</v>
      </c>
      <c r="CA193" s="538">
        <f t="shared" si="687"/>
        <v>1425016730.853749</v>
      </c>
      <c r="CB193" s="538">
        <f t="shared" si="687"/>
        <v>1472247090.3484149</v>
      </c>
      <c r="CC193" s="538">
        <f t="shared" si="687"/>
        <v>1519476873.8430808</v>
      </c>
      <c r="CD193" s="540">
        <f>CC193</f>
        <v>1519476873.8430808</v>
      </c>
      <c r="CE193" s="538">
        <f>CE173+CE175+CE177+CC193</f>
        <v>1574161021.9714942</v>
      </c>
      <c r="CF193" s="538">
        <f t="shared" ref="CF193:CP193" si="688">CF173+CF175+CF177+CE193</f>
        <v>1609910034.3286388</v>
      </c>
      <c r="CG193" s="538">
        <f t="shared" si="688"/>
        <v>1645668485.0666897</v>
      </c>
      <c r="CH193" s="538">
        <f t="shared" si="688"/>
        <v>1681433088.1235039</v>
      </c>
      <c r="CI193" s="538">
        <f t="shared" si="688"/>
        <v>1717211897.991472</v>
      </c>
      <c r="CJ193" s="538">
        <f t="shared" si="688"/>
        <v>1753000369.7216778</v>
      </c>
      <c r="CK193" s="538">
        <f t="shared" si="688"/>
        <v>1788795218.9280879</v>
      </c>
      <c r="CL193" s="538">
        <f t="shared" si="688"/>
        <v>1824604501.791774</v>
      </c>
      <c r="CM193" s="538">
        <f t="shared" si="688"/>
        <v>1860423675.0651655</v>
      </c>
      <c r="CN193" s="538">
        <f t="shared" si="688"/>
        <v>1896248056.0763352</v>
      </c>
      <c r="CO193" s="538">
        <f t="shared" si="688"/>
        <v>1932088502.7333164</v>
      </c>
      <c r="CP193" s="556">
        <f t="shared" si="688"/>
        <v>1966702334.8846705</v>
      </c>
      <c r="CQ193" s="540">
        <f>CP193</f>
        <v>1966702334.8846705</v>
      </c>
      <c r="CR193" s="49"/>
      <c r="CS193" s="49"/>
      <c r="CT193" s="49"/>
      <c r="CU193" s="49"/>
      <c r="CV193" s="49"/>
      <c r="CW193" s="49"/>
      <c r="CX193" s="49"/>
      <c r="CY193" s="49"/>
      <c r="CZ193" s="49"/>
      <c r="DA193" s="49"/>
      <c r="DB193" s="49"/>
      <c r="DC193" s="24"/>
      <c r="DD193" s="24"/>
      <c r="DE193" s="24"/>
      <c r="DF193" s="24"/>
      <c r="DG193" s="24"/>
      <c r="DH193" s="573"/>
      <c r="DI193" s="573"/>
      <c r="DJ193" s="573"/>
      <c r="DK193" s="573"/>
    </row>
    <row r="194" spans="1:115" ht="14.25" customHeight="1" thickBot="1" x14ac:dyDescent="0.45">
      <c r="A194" s="81"/>
      <c r="B194" s="82"/>
      <c r="C194" s="83"/>
      <c r="D194" s="83" t="s">
        <v>172</v>
      </c>
      <c r="E194" s="83">
        <v>1</v>
      </c>
      <c r="F194" s="83">
        <v>2</v>
      </c>
      <c r="G194" s="83">
        <v>3</v>
      </c>
      <c r="H194" s="83">
        <v>4</v>
      </c>
      <c r="I194" s="83">
        <v>5</v>
      </c>
      <c r="J194" s="83">
        <v>6</v>
      </c>
      <c r="K194" s="83">
        <v>7</v>
      </c>
      <c r="L194" s="83">
        <v>8</v>
      </c>
      <c r="M194" s="83">
        <v>9</v>
      </c>
      <c r="N194" s="83">
        <v>10</v>
      </c>
      <c r="O194" s="83">
        <v>11</v>
      </c>
      <c r="P194" s="83">
        <v>12</v>
      </c>
      <c r="Q194" s="83" t="s">
        <v>61</v>
      </c>
      <c r="R194" s="83">
        <v>13</v>
      </c>
      <c r="S194" s="83">
        <v>14</v>
      </c>
      <c r="T194" s="83">
        <v>15</v>
      </c>
      <c r="U194" s="83">
        <v>16</v>
      </c>
      <c r="V194" s="84">
        <v>17</v>
      </c>
      <c r="W194" s="83">
        <v>18</v>
      </c>
      <c r="X194" s="83">
        <v>19</v>
      </c>
      <c r="Y194" s="83">
        <v>20</v>
      </c>
      <c r="Z194" s="83">
        <v>21</v>
      </c>
      <c r="AA194" s="83">
        <v>22</v>
      </c>
      <c r="AB194" s="83">
        <v>23</v>
      </c>
      <c r="AC194" s="83">
        <v>24</v>
      </c>
      <c r="AD194" s="83" t="s">
        <v>62</v>
      </c>
      <c r="AE194" s="83">
        <v>25</v>
      </c>
      <c r="AF194" s="83">
        <v>26</v>
      </c>
      <c r="AG194" s="83">
        <v>27</v>
      </c>
      <c r="AH194" s="83">
        <v>28</v>
      </c>
      <c r="AI194" s="83">
        <v>29</v>
      </c>
      <c r="AJ194" s="83">
        <v>30</v>
      </c>
      <c r="AK194" s="83">
        <v>31</v>
      </c>
      <c r="AL194" s="83">
        <v>32</v>
      </c>
      <c r="AM194" s="83">
        <v>33</v>
      </c>
      <c r="AN194" s="83">
        <v>34</v>
      </c>
      <c r="AO194" s="83">
        <v>35</v>
      </c>
      <c r="AP194" s="83">
        <v>36</v>
      </c>
      <c r="AQ194" s="83" t="s">
        <v>63</v>
      </c>
      <c r="AR194" s="83">
        <v>37</v>
      </c>
      <c r="AS194" s="83">
        <v>38</v>
      </c>
      <c r="AT194" s="83">
        <v>39</v>
      </c>
      <c r="AU194" s="83">
        <v>40</v>
      </c>
      <c r="AV194" s="83">
        <v>41</v>
      </c>
      <c r="AW194" s="83">
        <v>42</v>
      </c>
      <c r="AX194" s="83">
        <v>43</v>
      </c>
      <c r="AY194" s="83">
        <v>44</v>
      </c>
      <c r="AZ194" s="83">
        <v>45</v>
      </c>
      <c r="BA194" s="83">
        <v>46</v>
      </c>
      <c r="BB194" s="83">
        <v>47</v>
      </c>
      <c r="BC194" s="83">
        <v>48</v>
      </c>
      <c r="BD194" s="83" t="s">
        <v>64</v>
      </c>
      <c r="BE194" s="83">
        <v>49</v>
      </c>
      <c r="BF194" s="83">
        <v>50</v>
      </c>
      <c r="BG194" s="83">
        <v>51</v>
      </c>
      <c r="BH194" s="83">
        <v>52</v>
      </c>
      <c r="BI194" s="83">
        <v>53</v>
      </c>
      <c r="BJ194" s="83">
        <v>54</v>
      </c>
      <c r="BK194" s="83">
        <v>55</v>
      </c>
      <c r="BL194" s="83">
        <v>56</v>
      </c>
      <c r="BM194" s="83">
        <v>57</v>
      </c>
      <c r="BN194" s="83">
        <v>58</v>
      </c>
      <c r="BO194" s="83">
        <v>59</v>
      </c>
      <c r="BP194" s="83">
        <v>60</v>
      </c>
      <c r="BQ194" s="83" t="s">
        <v>65</v>
      </c>
      <c r="BR194" s="83">
        <v>61</v>
      </c>
      <c r="BS194" s="83">
        <v>62</v>
      </c>
      <c r="BT194" s="83">
        <v>63</v>
      </c>
      <c r="BU194" s="83">
        <v>64</v>
      </c>
      <c r="BV194" s="83">
        <v>65</v>
      </c>
      <c r="BW194" s="83">
        <v>66</v>
      </c>
      <c r="BX194" s="83">
        <v>67</v>
      </c>
      <c r="BY194" s="83">
        <v>68</v>
      </c>
      <c r="BZ194" s="83">
        <v>69</v>
      </c>
      <c r="CA194" s="83">
        <v>70</v>
      </c>
      <c r="CB194" s="83">
        <v>71</v>
      </c>
      <c r="CC194" s="83">
        <v>72</v>
      </c>
      <c r="CD194" s="83" t="s">
        <v>66</v>
      </c>
      <c r="CE194" s="83">
        <v>73</v>
      </c>
      <c r="CF194" s="83">
        <v>74</v>
      </c>
      <c r="CG194" s="83">
        <v>75</v>
      </c>
      <c r="CH194" s="83">
        <v>76</v>
      </c>
      <c r="CI194" s="83">
        <v>77</v>
      </c>
      <c r="CJ194" s="83">
        <v>78</v>
      </c>
      <c r="CK194" s="83">
        <v>79</v>
      </c>
      <c r="CL194" s="83">
        <v>80</v>
      </c>
      <c r="CM194" s="83">
        <v>81</v>
      </c>
      <c r="CN194" s="83">
        <v>82</v>
      </c>
      <c r="CO194" s="83">
        <v>83</v>
      </c>
      <c r="CP194" s="168">
        <v>84</v>
      </c>
      <c r="CQ194" s="85" t="s">
        <v>67</v>
      </c>
      <c r="CR194" s="83"/>
      <c r="CS194" s="83"/>
      <c r="CT194" s="83"/>
      <c r="CU194" s="83"/>
      <c r="CV194" s="83"/>
      <c r="CW194" s="83"/>
      <c r="CX194" s="83"/>
      <c r="CY194" s="83"/>
      <c r="CZ194" s="83"/>
      <c r="DA194" s="83"/>
      <c r="DB194" s="83"/>
      <c r="DC194" s="83"/>
      <c r="DD194" s="83"/>
      <c r="DE194" s="84"/>
      <c r="DF194" s="84"/>
      <c r="DG194" s="84"/>
    </row>
    <row r="195" spans="1:115" ht="14.25" customHeight="1" x14ac:dyDescent="0.4">
      <c r="A195" s="37"/>
      <c r="C195" s="89"/>
      <c r="D195" s="317"/>
      <c r="E195" s="38">
        <f>E172+E174+E176</f>
        <v>0</v>
      </c>
      <c r="F195" s="38">
        <f t="shared" ref="F195:AD195" si="689">F172+F174+F176</f>
        <v>0</v>
      </c>
      <c r="G195" s="38">
        <f t="shared" si="689"/>
        <v>0</v>
      </c>
      <c r="H195" s="38">
        <f t="shared" si="689"/>
        <v>0</v>
      </c>
      <c r="I195" s="38">
        <f t="shared" si="689"/>
        <v>0</v>
      </c>
      <c r="J195" s="38">
        <f t="shared" si="689"/>
        <v>0</v>
      </c>
      <c r="K195" s="38">
        <f t="shared" si="689"/>
        <v>0</v>
      </c>
      <c r="L195" s="38">
        <f t="shared" si="689"/>
        <v>0</v>
      </c>
      <c r="M195" s="38">
        <f t="shared" si="689"/>
        <v>0</v>
      </c>
      <c r="N195" s="38">
        <f t="shared" si="689"/>
        <v>0</v>
      </c>
      <c r="O195" s="38">
        <f t="shared" si="689"/>
        <v>0</v>
      </c>
      <c r="P195" s="38">
        <f t="shared" si="689"/>
        <v>0</v>
      </c>
      <c r="Q195" s="89">
        <f t="shared" si="689"/>
        <v>0</v>
      </c>
      <c r="R195" s="38">
        <f t="shared" si="689"/>
        <v>0</v>
      </c>
      <c r="S195" s="38">
        <f t="shared" si="689"/>
        <v>0</v>
      </c>
      <c r="T195" s="38">
        <f t="shared" si="689"/>
        <v>0</v>
      </c>
      <c r="U195" s="38">
        <f t="shared" si="689"/>
        <v>0</v>
      </c>
      <c r="V195" s="38">
        <f t="shared" si="689"/>
        <v>0</v>
      </c>
      <c r="W195" s="38">
        <f t="shared" si="689"/>
        <v>0</v>
      </c>
      <c r="X195" s="38">
        <f t="shared" si="689"/>
        <v>0</v>
      </c>
      <c r="Y195" s="38">
        <f t="shared" si="689"/>
        <v>0</v>
      </c>
      <c r="Z195" s="38">
        <f t="shared" si="689"/>
        <v>0</v>
      </c>
      <c r="AA195" s="38">
        <f t="shared" si="689"/>
        <v>0</v>
      </c>
      <c r="AB195" s="38">
        <f t="shared" si="689"/>
        <v>0</v>
      </c>
      <c r="AC195" s="38">
        <f t="shared" si="689"/>
        <v>0</v>
      </c>
      <c r="AD195" s="89">
        <f t="shared" si="689"/>
        <v>0</v>
      </c>
      <c r="AW195" s="541"/>
      <c r="AX195" s="587"/>
      <c r="AZ195" s="543"/>
      <c r="BA195" s="543"/>
      <c r="BD195" s="49"/>
      <c r="BE195" s="39"/>
      <c r="BF195" s="39"/>
      <c r="BG195" s="39"/>
      <c r="BH195" s="39"/>
      <c r="BI195" s="39"/>
      <c r="BJ195" s="39"/>
      <c r="BK195" s="39"/>
      <c r="BL195" s="39"/>
      <c r="BM195" s="39"/>
      <c r="BN195" s="39"/>
      <c r="BO195" s="39"/>
      <c r="BP195" s="39"/>
      <c r="BQ195" s="49"/>
      <c r="BR195" s="570"/>
      <c r="BS195" s="38"/>
      <c r="CD195" s="49"/>
      <c r="CE195" s="39"/>
      <c r="CF195" s="39"/>
      <c r="CG195" s="39"/>
      <c r="CH195" s="39"/>
      <c r="CI195" s="39"/>
      <c r="CJ195" s="39"/>
      <c r="CK195" s="39"/>
      <c r="CL195" s="39"/>
      <c r="CM195" s="39"/>
      <c r="CN195" s="39"/>
      <c r="CO195" s="39"/>
      <c r="CP195" s="39"/>
      <c r="CQ195" s="49"/>
      <c r="DH195" s="123"/>
      <c r="DI195" s="123"/>
      <c r="DJ195" s="123"/>
      <c r="DK195" s="123"/>
    </row>
    <row r="196" spans="1:115" ht="14.25" customHeight="1" x14ac:dyDescent="0.4">
      <c r="A196" s="37"/>
      <c r="B196" s="24" t="s">
        <v>176</v>
      </c>
      <c r="C196" s="24"/>
      <c r="E196" s="38"/>
      <c r="F196" s="39"/>
      <c r="G196" s="39"/>
      <c r="H196" s="39"/>
      <c r="I196" s="39"/>
      <c r="J196" s="39"/>
      <c r="K196" s="39"/>
      <c r="L196" s="39"/>
      <c r="M196" s="39"/>
      <c r="O196" s="120"/>
      <c r="P196" s="120"/>
      <c r="Q196" s="121"/>
      <c r="R196" s="120"/>
      <c r="S196" s="120"/>
      <c r="T196" s="120"/>
      <c r="U196" s="120"/>
      <c r="V196" s="122"/>
      <c r="W196" s="123"/>
      <c r="X196" s="123"/>
      <c r="Y196" s="123"/>
      <c r="Z196" s="123"/>
      <c r="AA196" s="123"/>
      <c r="AB196" s="123"/>
      <c r="AC196" s="123"/>
      <c r="AD196" s="121"/>
      <c r="AE196" s="124"/>
      <c r="AF196" s="123"/>
      <c r="AG196" s="123"/>
      <c r="AH196" s="123"/>
      <c r="AI196" s="123"/>
      <c r="AJ196" s="123"/>
      <c r="AK196" s="123"/>
      <c r="AL196" s="123"/>
      <c r="AM196" s="123"/>
      <c r="AN196" s="123"/>
      <c r="AO196" s="123"/>
      <c r="AP196" s="123"/>
      <c r="AQ196" s="121"/>
      <c r="AR196" s="123"/>
      <c r="AS196" s="49"/>
      <c r="AT196" s="49"/>
      <c r="AU196" s="123"/>
      <c r="AV196" s="123"/>
      <c r="AW196" s="568"/>
      <c r="AX196" s="569"/>
      <c r="AY196" s="125"/>
      <c r="AZ196" s="124"/>
      <c r="BA196" s="124"/>
      <c r="BB196" s="125"/>
      <c r="BC196" s="568"/>
      <c r="BD196" s="574"/>
      <c r="BE196" s="123"/>
      <c r="BF196" s="123"/>
      <c r="BG196" s="123"/>
      <c r="BH196" s="123"/>
      <c r="BI196" s="123"/>
      <c r="BJ196" s="123"/>
      <c r="BK196" s="123"/>
      <c r="BL196" s="123"/>
      <c r="BM196" s="125"/>
      <c r="BN196" s="123"/>
      <c r="BO196" s="123"/>
      <c r="BP196" s="120"/>
      <c r="BQ196" s="126"/>
      <c r="BR196" s="124"/>
      <c r="BS196" s="125"/>
      <c r="BT196" s="123"/>
      <c r="BU196" s="123"/>
      <c r="BV196" s="125"/>
      <c r="BW196" s="123"/>
      <c r="BX196" s="123"/>
      <c r="BY196" s="123"/>
      <c r="BZ196" s="123"/>
      <c r="CA196" s="123"/>
      <c r="CB196" s="123"/>
      <c r="CC196" s="123"/>
      <c r="CD196" s="126"/>
      <c r="CE196" s="123"/>
      <c r="CF196" s="123"/>
      <c r="CG196" s="123"/>
      <c r="CH196" s="123"/>
      <c r="CI196" s="123"/>
      <c r="CJ196" s="123"/>
      <c r="CK196" s="123"/>
      <c r="CL196" s="123"/>
      <c r="CM196" s="123"/>
      <c r="CN196" s="123"/>
      <c r="CO196" s="123"/>
      <c r="CP196" s="123"/>
      <c r="CQ196" s="121"/>
      <c r="CR196" s="123"/>
      <c r="CS196" s="123"/>
      <c r="CT196" s="123"/>
      <c r="CU196" s="123"/>
      <c r="CV196" s="123"/>
      <c r="CW196" s="123"/>
      <c r="CX196" s="123"/>
      <c r="CY196" s="123"/>
      <c r="CZ196" s="123"/>
      <c r="DA196" s="123"/>
      <c r="DB196" s="123"/>
      <c r="DC196" s="123"/>
      <c r="DD196" s="123"/>
      <c r="DE196" s="123"/>
      <c r="DF196" s="123"/>
      <c r="DG196" s="123"/>
    </row>
    <row r="197" spans="1:115" ht="14.25" customHeight="1" x14ac:dyDescent="0.4">
      <c r="A197" s="37">
        <v>1</v>
      </c>
      <c r="B197" s="426" t="s">
        <v>674</v>
      </c>
      <c r="C197" s="89"/>
      <c r="D197" s="39"/>
      <c r="E197" s="38"/>
      <c r="F197" s="39"/>
      <c r="G197" s="39"/>
      <c r="H197" s="39"/>
      <c r="I197" s="39"/>
      <c r="J197" s="39"/>
      <c r="K197" s="39"/>
      <c r="L197" s="39"/>
      <c r="M197" s="39"/>
      <c r="N197" s="39"/>
      <c r="O197" s="39"/>
      <c r="P197" s="39"/>
      <c r="Q197" s="49"/>
      <c r="R197" s="39"/>
      <c r="S197" s="39"/>
      <c r="T197" s="39"/>
      <c r="U197" s="39"/>
      <c r="V197" s="39"/>
      <c r="W197" s="127"/>
      <c r="X197" s="127"/>
      <c r="Y197" s="127"/>
      <c r="Z197" s="127"/>
      <c r="AA197" s="127"/>
      <c r="AB197" s="127"/>
      <c r="AC197" s="127"/>
      <c r="AD197" s="49"/>
      <c r="AE197" s="127"/>
      <c r="AF197" s="127"/>
      <c r="AG197" s="127"/>
      <c r="AH197" s="127"/>
      <c r="AI197" s="127"/>
      <c r="AJ197" s="127"/>
      <c r="AK197" s="127"/>
      <c r="AL197" s="127"/>
      <c r="AM197" s="127"/>
      <c r="AN197" s="127"/>
      <c r="AO197" s="127"/>
      <c r="AP197" s="127"/>
      <c r="AQ197" s="49"/>
      <c r="AR197" s="127"/>
      <c r="AS197" s="49"/>
      <c r="AT197" s="49"/>
      <c r="AU197" s="127"/>
      <c r="AV197" s="127"/>
      <c r="AW197" s="588"/>
      <c r="AX197" s="587"/>
      <c r="AY197" s="591"/>
      <c r="AZ197" s="128"/>
      <c r="BA197" s="129"/>
      <c r="BB197" s="571"/>
      <c r="BC197" s="567"/>
      <c r="BD197" s="575"/>
      <c r="BE197" s="571"/>
      <c r="BF197" s="567"/>
      <c r="BG197" s="127"/>
      <c r="BH197" s="127"/>
      <c r="BI197" s="127"/>
      <c r="BJ197" s="127"/>
      <c r="BK197" s="127"/>
      <c r="BL197" s="127"/>
      <c r="BM197" s="127"/>
      <c r="BN197" s="127"/>
      <c r="BO197" s="127"/>
      <c r="BP197" s="129"/>
      <c r="BR197" s="570"/>
      <c r="BS197" s="38"/>
      <c r="CD197" s="24"/>
      <c r="CH197" s="39"/>
      <c r="CI197" s="39"/>
      <c r="CJ197" s="39"/>
      <c r="CK197" s="39"/>
      <c r="CL197" s="39"/>
      <c r="CM197" s="39"/>
      <c r="CN197" s="39"/>
      <c r="CO197" s="39"/>
      <c r="CP197" s="39"/>
      <c r="CQ197" s="49"/>
    </row>
    <row r="198" spans="1:115" ht="14.25" customHeight="1" x14ac:dyDescent="0.4">
      <c r="A198" s="37">
        <v>2</v>
      </c>
      <c r="B198" s="123" t="s">
        <v>643</v>
      </c>
      <c r="C198" s="123"/>
      <c r="D198" s="123"/>
      <c r="E198" s="123"/>
      <c r="F198" s="123"/>
      <c r="G198" s="123"/>
      <c r="H198" s="123"/>
      <c r="I198" s="123"/>
      <c r="J198" s="123"/>
      <c r="K198" s="123"/>
      <c r="L198" s="120"/>
      <c r="M198" s="39"/>
      <c r="N198" s="39"/>
      <c r="O198" s="39"/>
      <c r="P198" s="39"/>
      <c r="Q198" s="49"/>
      <c r="R198" s="39"/>
      <c r="S198" s="39"/>
      <c r="T198" s="39"/>
      <c r="U198" s="39"/>
      <c r="V198" s="39"/>
      <c r="AD198" s="49"/>
      <c r="AQ198" s="49"/>
      <c r="AX198" s="587"/>
      <c r="AY198" s="586"/>
      <c r="AZ198" s="119"/>
      <c r="BA198" s="119"/>
      <c r="BB198" s="570"/>
      <c r="BC198" s="569"/>
      <c r="BD198" s="572"/>
      <c r="BS198" s="38"/>
      <c r="CD198" s="24"/>
      <c r="CQ198" s="49"/>
    </row>
    <row r="199" spans="1:115" ht="14.25" customHeight="1" x14ac:dyDescent="0.4">
      <c r="A199" s="94">
        <v>3</v>
      </c>
      <c r="B199" s="24" t="s">
        <v>644</v>
      </c>
      <c r="C199" s="91"/>
      <c r="D199" s="91"/>
      <c r="E199" s="91"/>
      <c r="F199" s="91"/>
      <c r="G199" s="91"/>
      <c r="H199" s="91"/>
      <c r="I199" s="91"/>
      <c r="J199" s="91"/>
      <c r="K199" s="91"/>
      <c r="L199" s="39"/>
      <c r="M199" s="39"/>
      <c r="N199" s="39"/>
      <c r="O199" s="39"/>
      <c r="P199" s="39"/>
      <c r="Q199" s="49"/>
      <c r="R199" s="39"/>
      <c r="S199" s="39"/>
      <c r="T199" s="39"/>
      <c r="U199" s="39"/>
      <c r="V199" s="39"/>
      <c r="AD199" s="49"/>
      <c r="AQ199" s="49"/>
      <c r="AW199" s="426"/>
      <c r="AY199" s="570"/>
      <c r="AZ199" s="119"/>
      <c r="BA199" s="119"/>
      <c r="BB199" s="570"/>
      <c r="BD199" s="536"/>
      <c r="BE199" s="543"/>
      <c r="BF199" s="569"/>
      <c r="BS199" s="38"/>
      <c r="CD199" s="24"/>
      <c r="CQ199" s="49"/>
    </row>
    <row r="200" spans="1:115" ht="14.25" customHeight="1" x14ac:dyDescent="0.4">
      <c r="A200" s="94">
        <v>4</v>
      </c>
      <c r="B200" t="s">
        <v>177</v>
      </c>
      <c r="C200" s="89"/>
      <c r="D200" s="130"/>
      <c r="E200" s="130"/>
      <c r="F200" s="130"/>
      <c r="G200" s="130"/>
      <c r="H200" s="130"/>
      <c r="I200" s="130"/>
      <c r="J200" s="130"/>
      <c r="K200" s="130"/>
      <c r="L200" s="39"/>
      <c r="M200" s="39"/>
      <c r="N200" s="39"/>
      <c r="O200" s="39"/>
      <c r="P200" s="39"/>
      <c r="Q200" s="49"/>
      <c r="R200" s="39"/>
      <c r="S200" s="39"/>
      <c r="T200" s="39"/>
      <c r="U200" s="39"/>
      <c r="V200" s="39"/>
      <c r="AD200" s="49"/>
      <c r="AY200" s="570"/>
      <c r="BA200" s="570"/>
      <c r="BC200" s="543"/>
      <c r="BD200" s="49"/>
      <c r="BE200" s="569"/>
      <c r="BS200" s="38"/>
      <c r="CD200" s="24"/>
      <c r="CQ200" s="49"/>
    </row>
    <row r="201" spans="1:115" ht="14.25" customHeight="1" x14ac:dyDescent="0.4">
      <c r="A201" s="94">
        <v>5</v>
      </c>
      <c r="B201" s="426" t="s">
        <v>645</v>
      </c>
      <c r="K201" s="127"/>
      <c r="L201" s="127"/>
      <c r="M201" s="39"/>
      <c r="N201" s="39"/>
      <c r="O201" s="39"/>
      <c r="P201" s="39"/>
      <c r="Q201" s="49"/>
      <c r="R201" s="39"/>
      <c r="S201" s="39"/>
      <c r="T201" s="39"/>
      <c r="U201" s="39"/>
      <c r="V201" s="39"/>
      <c r="AD201" s="49"/>
      <c r="AQ201" s="49"/>
      <c r="AZ201" s="570"/>
      <c r="BA201" s="570"/>
      <c r="BE201" s="569"/>
      <c r="BS201" s="38"/>
      <c r="CD201" s="24"/>
      <c r="CQ201" s="49"/>
    </row>
    <row r="202" spans="1:115" ht="14.25" customHeight="1" x14ac:dyDescent="0.4">
      <c r="A202" s="37">
        <v>6</v>
      </c>
      <c r="B202" t="s">
        <v>178</v>
      </c>
      <c r="M202" s="39"/>
      <c r="N202" s="39"/>
      <c r="O202" s="39"/>
      <c r="P202" s="39"/>
      <c r="Q202" s="49"/>
      <c r="R202" s="39"/>
      <c r="S202" s="39"/>
      <c r="T202" s="39"/>
      <c r="U202" s="39"/>
      <c r="V202" s="39"/>
      <c r="AD202" s="49"/>
      <c r="AQ202" s="49"/>
      <c r="AY202" s="570"/>
      <c r="BA202" s="570"/>
      <c r="BC202" s="543"/>
      <c r="BS202" s="38"/>
      <c r="CD202" s="24"/>
      <c r="CQ202" s="49"/>
    </row>
    <row r="203" spans="1:115" ht="14.25" customHeight="1" x14ac:dyDescent="0.4">
      <c r="A203" s="37">
        <v>7</v>
      </c>
      <c r="B203" t="s">
        <v>179</v>
      </c>
      <c r="I203" s="130"/>
      <c r="J203" s="130"/>
      <c r="K203" s="130"/>
      <c r="L203" s="39"/>
      <c r="M203" s="39"/>
      <c r="N203" s="39"/>
      <c r="O203" s="39"/>
      <c r="P203" s="39"/>
      <c r="Q203" s="49"/>
      <c r="R203" s="39"/>
      <c r="S203" s="39"/>
      <c r="T203" s="39"/>
      <c r="U203" s="39"/>
      <c r="V203" s="39"/>
      <c r="AD203" s="49"/>
      <c r="AQ203" s="49"/>
      <c r="BS203" s="38"/>
      <c r="CD203" s="24"/>
      <c r="CQ203" s="49"/>
    </row>
    <row r="204" spans="1:115" ht="14.25" customHeight="1" x14ac:dyDescent="0.4">
      <c r="A204" s="37">
        <v>8</v>
      </c>
      <c r="B204" s="131" t="s">
        <v>180</v>
      </c>
      <c r="C204" s="132"/>
      <c r="D204" s="131"/>
      <c r="E204" s="131"/>
      <c r="F204" s="131"/>
      <c r="G204" s="131"/>
      <c r="H204" s="131"/>
      <c r="I204" s="130"/>
      <c r="J204" s="130"/>
      <c r="K204" s="130"/>
      <c r="L204" s="39"/>
      <c r="Q204" s="24"/>
      <c r="AD204" s="49"/>
      <c r="AQ204" s="49"/>
      <c r="BS204" s="38"/>
      <c r="CD204" s="24"/>
      <c r="CQ204" s="49"/>
    </row>
    <row r="205" spans="1:115" ht="14.25" customHeight="1" x14ac:dyDescent="0.4">
      <c r="A205" s="37">
        <v>9</v>
      </c>
      <c r="B205" s="131" t="s">
        <v>646</v>
      </c>
      <c r="C205" s="132"/>
      <c r="D205" s="131"/>
      <c r="E205" s="131"/>
      <c r="F205" s="131"/>
      <c r="G205" s="131"/>
      <c r="H205" s="131"/>
      <c r="I205" s="130"/>
      <c r="J205" s="130"/>
      <c r="K205" s="130"/>
      <c r="L205" s="39"/>
      <c r="Q205" s="24"/>
      <c r="AD205" s="49"/>
      <c r="AQ205" s="49"/>
      <c r="BS205" s="38"/>
      <c r="CD205" s="24"/>
      <c r="CQ205" s="49"/>
    </row>
    <row r="206" spans="1:115" ht="14.25" customHeight="1" x14ac:dyDescent="0.4">
      <c r="A206" s="37">
        <v>10</v>
      </c>
      <c r="B206" s="580" t="s">
        <v>647</v>
      </c>
      <c r="C206" s="132"/>
      <c r="D206" s="131"/>
      <c r="E206" s="131"/>
      <c r="F206" s="131"/>
      <c r="G206" s="131"/>
      <c r="H206" s="131"/>
      <c r="I206" s="130"/>
      <c r="J206" s="130"/>
      <c r="K206" s="130"/>
      <c r="L206" s="39"/>
      <c r="Q206" s="24"/>
      <c r="AD206" s="49"/>
      <c r="AQ206" s="49"/>
      <c r="BS206" s="38"/>
      <c r="CD206" s="24"/>
      <c r="CQ206" s="49"/>
    </row>
    <row r="207" spans="1:115" ht="14.25" customHeight="1" x14ac:dyDescent="0.4">
      <c r="A207" s="37">
        <v>11</v>
      </c>
      <c r="B207" s="426" t="s">
        <v>652</v>
      </c>
      <c r="C207" s="132"/>
      <c r="D207" s="131"/>
      <c r="E207" s="131"/>
      <c r="F207" s="131"/>
      <c r="G207" s="131"/>
      <c r="H207" s="131"/>
      <c r="I207" s="130"/>
      <c r="J207" s="130"/>
      <c r="K207" s="130"/>
      <c r="L207" s="39"/>
      <c r="Q207" s="24"/>
      <c r="AD207" s="49"/>
      <c r="AQ207" s="49"/>
      <c r="BS207" s="38"/>
      <c r="CD207" s="24"/>
      <c r="CQ207" s="49"/>
    </row>
    <row r="208" spans="1:115" ht="14.25" customHeight="1" x14ac:dyDescent="0.4">
      <c r="A208" s="37">
        <v>12</v>
      </c>
      <c r="B208" s="427" t="s">
        <v>181</v>
      </c>
      <c r="C208" s="132"/>
      <c r="D208" s="131"/>
      <c r="E208" s="131"/>
      <c r="F208" s="131"/>
      <c r="G208" s="131"/>
      <c r="H208" s="131"/>
      <c r="I208" s="130"/>
      <c r="J208" s="130"/>
      <c r="K208" s="130"/>
      <c r="L208" s="39"/>
      <c r="M208" s="39"/>
      <c r="N208" s="39"/>
      <c r="Q208" s="24"/>
      <c r="U208" s="39"/>
      <c r="V208" s="39"/>
      <c r="AD208" s="49"/>
      <c r="AQ208" s="49"/>
      <c r="BS208" s="38"/>
      <c r="CD208" s="24"/>
      <c r="CQ208" s="49"/>
    </row>
    <row r="209" spans="1:115" ht="14.25" customHeight="1" x14ac:dyDescent="0.4">
      <c r="A209" s="37">
        <v>13</v>
      </c>
      <c r="B209" s="426" t="s">
        <v>655</v>
      </c>
      <c r="C209" s="24"/>
      <c r="L209" s="39"/>
      <c r="Q209" s="24"/>
      <c r="AD209" s="49"/>
      <c r="AQ209" s="49"/>
      <c r="BS209" s="38"/>
      <c r="CD209" s="24"/>
      <c r="CQ209" s="49"/>
    </row>
    <row r="210" spans="1:115" ht="14.25" customHeight="1" x14ac:dyDescent="0.4">
      <c r="A210" s="37">
        <v>14</v>
      </c>
      <c r="B210" s="426" t="s">
        <v>648</v>
      </c>
      <c r="C210" s="133"/>
      <c r="E210" s="38"/>
      <c r="Q210" s="24"/>
      <c r="AD210" s="49"/>
      <c r="AQ210" s="49"/>
      <c r="BS210" s="38"/>
      <c r="CD210" s="24"/>
      <c r="CQ210" s="49"/>
    </row>
    <row r="211" spans="1:115" ht="14.25" customHeight="1" x14ac:dyDescent="0.4">
      <c r="A211" s="37">
        <v>15</v>
      </c>
      <c r="B211" s="426" t="s">
        <v>649</v>
      </c>
      <c r="C211" s="133"/>
      <c r="E211" s="38"/>
      <c r="Q211" s="24"/>
      <c r="AD211" s="49"/>
      <c r="AQ211" s="49"/>
      <c r="BS211" s="38"/>
      <c r="CD211" s="24"/>
      <c r="CQ211" s="49"/>
      <c r="DH211" s="95"/>
      <c r="DI211" s="95"/>
      <c r="DJ211" s="95"/>
      <c r="DK211" s="95"/>
    </row>
    <row r="212" spans="1:115" ht="15" customHeight="1" x14ac:dyDescent="0.4">
      <c r="A212" s="94">
        <v>16</v>
      </c>
      <c r="B212" s="11" t="s">
        <v>656</v>
      </c>
      <c r="C212" s="134"/>
      <c r="D212" s="95"/>
      <c r="E212" s="87"/>
      <c r="F212" s="95"/>
      <c r="G212" s="95"/>
      <c r="H212" s="95"/>
      <c r="I212" s="95"/>
      <c r="J212" s="95"/>
      <c r="K212" s="95"/>
      <c r="L212" s="95"/>
      <c r="M212" s="95"/>
      <c r="N212" s="95"/>
      <c r="O212" s="95"/>
      <c r="P212" s="95"/>
      <c r="Q212" s="24"/>
      <c r="R212" s="95"/>
      <c r="S212" s="95"/>
      <c r="T212" s="95"/>
      <c r="U212" s="95"/>
      <c r="V212" s="95"/>
      <c r="W212" s="95"/>
      <c r="X212" s="95"/>
      <c r="Y212" s="95"/>
      <c r="Z212" s="95"/>
      <c r="AA212" s="95"/>
      <c r="AB212" s="95"/>
      <c r="AC212" s="95"/>
      <c r="AD212" s="49"/>
      <c r="AE212" s="95"/>
      <c r="AF212" s="95"/>
      <c r="AG212" s="95"/>
      <c r="AH212" s="95"/>
      <c r="AI212" s="95"/>
      <c r="AJ212" s="95"/>
      <c r="AK212" s="95"/>
      <c r="AL212" s="95"/>
      <c r="AM212" s="95"/>
      <c r="AN212" s="95"/>
      <c r="AO212" s="95"/>
      <c r="AP212" s="95"/>
      <c r="AQ212" s="49"/>
      <c r="AR212" s="95"/>
      <c r="AS212" s="95"/>
      <c r="AT212" s="95"/>
      <c r="AU212" s="95"/>
      <c r="AV212" s="95"/>
      <c r="AW212" s="95"/>
      <c r="AX212" s="95"/>
      <c r="AY212" s="95"/>
      <c r="AZ212" s="95"/>
      <c r="BA212" s="95"/>
      <c r="BB212" s="95"/>
      <c r="BC212" s="95"/>
      <c r="BD212" s="24"/>
      <c r="BE212" s="95"/>
      <c r="BF212" s="95"/>
      <c r="BG212" s="95"/>
      <c r="BH212" s="95"/>
      <c r="BI212" s="95"/>
      <c r="BJ212" s="95"/>
      <c r="BK212" s="95"/>
      <c r="BL212" s="95"/>
      <c r="BM212" s="95"/>
      <c r="BN212" s="95"/>
      <c r="BO212" s="95"/>
      <c r="BP212" s="95"/>
      <c r="BQ212" s="24"/>
      <c r="BR212" s="95"/>
      <c r="BS212" s="87"/>
      <c r="BT212" s="95"/>
      <c r="BU212" s="95"/>
      <c r="BV212" s="95"/>
      <c r="BW212" s="95"/>
      <c r="BX212" s="95"/>
      <c r="BY212" s="95"/>
      <c r="BZ212" s="95"/>
      <c r="CA212" s="95"/>
      <c r="CB212" s="95"/>
      <c r="CC212" s="95"/>
      <c r="CD212" s="24"/>
      <c r="CE212" s="95"/>
      <c r="CF212" s="95"/>
      <c r="CG212" s="95"/>
      <c r="CH212" s="95"/>
      <c r="CI212" s="95"/>
      <c r="CJ212" s="95"/>
      <c r="CK212" s="95"/>
      <c r="CL212" s="95"/>
      <c r="CM212" s="95"/>
      <c r="CN212" s="95"/>
      <c r="CO212" s="95"/>
      <c r="CP212" s="11"/>
      <c r="CQ212" s="86"/>
      <c r="CR212" s="95"/>
      <c r="CS212" s="95"/>
      <c r="CT212" s="95"/>
      <c r="CU212" s="95"/>
      <c r="CV212" s="95"/>
      <c r="CW212" s="95"/>
      <c r="CX212" s="95"/>
      <c r="CY212" s="95"/>
      <c r="CZ212" s="95"/>
      <c r="DA212" s="95"/>
      <c r="DB212" s="95"/>
      <c r="DC212" s="95"/>
      <c r="DD212" s="95"/>
      <c r="DE212" s="95"/>
      <c r="DF212" s="95"/>
      <c r="DG212" s="95"/>
      <c r="DH212" s="95"/>
      <c r="DI212" s="95"/>
      <c r="DJ212" s="95"/>
      <c r="DK212" s="95"/>
    </row>
    <row r="213" spans="1:115" ht="15" customHeight="1" x14ac:dyDescent="0.4">
      <c r="A213" s="94">
        <v>17</v>
      </c>
      <c r="B213" s="24" t="s">
        <v>675</v>
      </c>
      <c r="C213" s="134"/>
      <c r="D213" s="95"/>
      <c r="E213" s="87"/>
      <c r="F213" s="95"/>
      <c r="G213" s="95"/>
      <c r="H213" s="95"/>
      <c r="I213" s="95"/>
      <c r="J213" s="95"/>
      <c r="K213" s="95"/>
      <c r="L213" s="95"/>
      <c r="M213" s="95"/>
      <c r="N213" s="95"/>
      <c r="O213" s="95"/>
      <c r="P213" s="95"/>
      <c r="Q213" s="24"/>
      <c r="R213" s="95"/>
      <c r="S213" s="95"/>
      <c r="T213" s="95"/>
      <c r="U213" s="95"/>
      <c r="V213" s="95"/>
      <c r="W213" s="95"/>
      <c r="X213" s="95"/>
      <c r="Y213" s="95"/>
      <c r="Z213" s="95"/>
      <c r="AA213" s="95"/>
      <c r="AB213" s="95"/>
      <c r="AC213" s="95"/>
      <c r="AD213" s="49"/>
      <c r="AE213" s="95"/>
      <c r="AF213" s="95"/>
      <c r="AG213" s="95"/>
      <c r="AH213" s="95"/>
      <c r="AI213" s="95"/>
      <c r="AJ213" s="95"/>
      <c r="AK213" s="95"/>
      <c r="AL213" s="95"/>
      <c r="AM213" s="95"/>
      <c r="AN213" s="95"/>
      <c r="AO213" s="95"/>
      <c r="AP213" s="95"/>
      <c r="AQ213" s="49"/>
      <c r="AR213" s="95"/>
      <c r="AS213" s="95"/>
      <c r="AT213" s="95"/>
      <c r="AU213" s="95"/>
      <c r="AV213" s="95"/>
      <c r="AW213" s="95"/>
      <c r="AX213" s="95"/>
      <c r="AY213" s="95"/>
      <c r="AZ213" s="95"/>
      <c r="BA213" s="95"/>
      <c r="BB213" s="95"/>
      <c r="BC213" s="95"/>
      <c r="BD213" s="24"/>
      <c r="BE213" s="95"/>
      <c r="BF213" s="95"/>
      <c r="BG213" s="95"/>
      <c r="BH213" s="95"/>
      <c r="BI213" s="95"/>
      <c r="BJ213" s="95"/>
      <c r="BK213" s="95"/>
      <c r="BL213" s="95"/>
      <c r="BM213" s="95"/>
      <c r="BN213" s="95"/>
      <c r="BO213" s="95"/>
      <c r="BP213" s="95"/>
      <c r="BQ213" s="24"/>
      <c r="BR213" s="95"/>
      <c r="BS213" s="87"/>
      <c r="BT213" s="95"/>
      <c r="BU213" s="95"/>
      <c r="BV213" s="95"/>
      <c r="BW213" s="95"/>
      <c r="BX213" s="95"/>
      <c r="BY213" s="95"/>
      <c r="BZ213" s="95"/>
      <c r="CA213" s="95"/>
      <c r="CB213" s="95"/>
      <c r="CC213" s="95"/>
      <c r="CD213" s="24"/>
      <c r="CE213" s="95"/>
      <c r="CF213" s="95"/>
      <c r="CG213" s="95"/>
      <c r="CH213" s="95"/>
      <c r="CI213" s="95"/>
      <c r="CJ213" s="95"/>
      <c r="CK213" s="95"/>
      <c r="CL213" s="95"/>
      <c r="CM213" s="95"/>
      <c r="CN213" s="95"/>
      <c r="CO213" s="95"/>
      <c r="CP213" s="11"/>
      <c r="CQ213" s="86"/>
      <c r="CR213" s="95"/>
      <c r="CS213" s="95"/>
      <c r="CT213" s="95"/>
      <c r="CU213" s="95"/>
      <c r="CV213" s="95"/>
      <c r="CW213" s="95"/>
      <c r="CX213" s="95"/>
      <c r="CY213" s="95"/>
      <c r="CZ213" s="95"/>
      <c r="DA213" s="95"/>
      <c r="DB213" s="95"/>
      <c r="DC213" s="95"/>
      <c r="DD213" s="95"/>
      <c r="DE213" s="95"/>
      <c r="DF213" s="95"/>
      <c r="DG213" s="95"/>
      <c r="DH213" s="95"/>
      <c r="DI213" s="95"/>
      <c r="DJ213" s="95"/>
      <c r="DK213" s="95"/>
    </row>
    <row r="214" spans="1:115" ht="14.25" customHeight="1" x14ac:dyDescent="0.4">
      <c r="A214" s="37"/>
      <c r="C214" s="24"/>
      <c r="O214" s="127"/>
      <c r="P214" s="127"/>
      <c r="Q214" s="135"/>
      <c r="R214" s="127"/>
      <c r="S214" s="127"/>
      <c r="T214" s="127"/>
      <c r="AD214" s="49"/>
      <c r="AQ214" s="49"/>
      <c r="BS214" s="38"/>
      <c r="CD214" s="24"/>
      <c r="CQ214" s="49"/>
    </row>
    <row r="215" spans="1:115" ht="14.25" customHeight="1" x14ac:dyDescent="0.4">
      <c r="A215" s="37"/>
      <c r="B215" s="24" t="s">
        <v>182</v>
      </c>
      <c r="C215" s="136"/>
      <c r="D215" s="130"/>
      <c r="E215" s="130"/>
      <c r="F215" s="130"/>
      <c r="G215" s="130"/>
      <c r="H215" s="130"/>
      <c r="I215" s="130"/>
      <c r="J215" s="130"/>
      <c r="K215" s="130"/>
      <c r="M215" s="127"/>
      <c r="N215" s="127"/>
      <c r="Q215" s="24"/>
      <c r="U215" s="127"/>
      <c r="V215" s="127"/>
      <c r="AD215" s="49"/>
      <c r="AQ215" s="49"/>
      <c r="BS215" s="38"/>
      <c r="CD215" s="24"/>
      <c r="CQ215" s="49"/>
    </row>
    <row r="216" spans="1:115" ht="15.75" customHeight="1" x14ac:dyDescent="0.4">
      <c r="A216" s="37"/>
      <c r="B216" t="s">
        <v>551</v>
      </c>
      <c r="C216" s="24"/>
      <c r="Q216" s="24"/>
      <c r="AD216" s="49"/>
      <c r="AQ216" s="49"/>
      <c r="BS216" s="38"/>
      <c r="CD216" s="24"/>
      <c r="CQ216" s="49"/>
    </row>
    <row r="217" spans="1:115" ht="14.25" customHeight="1" x14ac:dyDescent="0.4">
      <c r="A217" s="94"/>
      <c r="B217" s="426" t="s">
        <v>654</v>
      </c>
      <c r="K217" s="127"/>
      <c r="L217" s="127"/>
      <c r="Q217" s="49"/>
      <c r="AD217" s="49"/>
      <c r="AQ217" s="49"/>
      <c r="AR217" s="119"/>
      <c r="AS217" s="119"/>
      <c r="AT217" s="119"/>
      <c r="AU217" s="119"/>
      <c r="AV217" s="119"/>
      <c r="AW217" s="119"/>
      <c r="AX217" s="119"/>
      <c r="AY217" s="119"/>
      <c r="AZ217" s="119"/>
      <c r="BA217" s="119"/>
      <c r="BB217" s="119"/>
      <c r="BC217" s="119"/>
      <c r="BD217" s="314"/>
      <c r="BE217" s="119"/>
      <c r="BQ217" s="49"/>
      <c r="BS217" s="38"/>
      <c r="CD217" s="24"/>
      <c r="CQ217" s="49"/>
      <c r="DH217" s="95"/>
      <c r="DI217" s="95"/>
      <c r="DJ217" s="95"/>
      <c r="DK217" s="95"/>
    </row>
    <row r="218" spans="1:115" ht="14.25" customHeight="1" x14ac:dyDescent="0.4">
      <c r="A218" s="37"/>
      <c r="B218" s="24" t="s">
        <v>650</v>
      </c>
      <c r="C218" s="91"/>
      <c r="D218" s="91"/>
      <c r="E218" s="91"/>
      <c r="F218" s="91"/>
      <c r="G218" s="91"/>
      <c r="H218" s="91"/>
      <c r="I218" s="95"/>
      <c r="J218" s="95"/>
      <c r="K218" s="95"/>
      <c r="L218" s="95"/>
      <c r="M218" s="95"/>
      <c r="N218" s="95"/>
      <c r="O218" s="44"/>
      <c r="P218" s="44"/>
      <c r="Q218" s="49"/>
      <c r="R218" s="44"/>
      <c r="S218" s="44"/>
      <c r="T218" s="44"/>
      <c r="U218" s="44"/>
      <c r="V218" s="44"/>
      <c r="W218" s="44"/>
      <c r="X218" s="44"/>
      <c r="Y218" s="44"/>
      <c r="Z218" s="44"/>
      <c r="AA218" s="44"/>
      <c r="AB218" s="44"/>
      <c r="AC218" s="44"/>
      <c r="AD218" s="49"/>
      <c r="AE218" s="44"/>
      <c r="AF218" s="44"/>
      <c r="AG218" s="44"/>
      <c r="AH218" s="44"/>
      <c r="AI218" s="44"/>
      <c r="AJ218" s="44"/>
      <c r="AK218" s="44"/>
      <c r="AL218" s="44"/>
      <c r="AM218" s="44"/>
      <c r="AN218" s="44"/>
      <c r="AO218" s="44"/>
      <c r="AP218" s="44"/>
      <c r="AQ218" s="49"/>
      <c r="AR218" s="44"/>
      <c r="AS218" s="44"/>
      <c r="AT218" s="44"/>
      <c r="AU218" s="44"/>
      <c r="AV218" s="44"/>
      <c r="AW218" s="44"/>
      <c r="AX218" s="44"/>
      <c r="AY218" s="44"/>
      <c r="AZ218" s="44"/>
      <c r="BA218" s="44"/>
      <c r="BB218" s="44"/>
      <c r="BC218" s="44"/>
      <c r="BD218" s="49"/>
      <c r="BE218" s="44"/>
      <c r="BF218" s="44"/>
      <c r="BG218" s="44"/>
      <c r="BH218" s="44"/>
      <c r="BI218" s="44"/>
      <c r="BJ218" s="44"/>
      <c r="BK218" s="44"/>
      <c r="BL218" s="44"/>
      <c r="BM218" s="44"/>
      <c r="BN218" s="44"/>
      <c r="BO218" s="44"/>
      <c r="BP218" s="44"/>
      <c r="BQ218" s="49"/>
      <c r="BR218" s="44"/>
      <c r="BS218" s="44"/>
      <c r="BT218" s="44"/>
      <c r="BU218" s="44"/>
      <c r="BV218" s="44"/>
      <c r="BW218" s="44"/>
      <c r="BX218" s="44"/>
      <c r="BY218" s="44"/>
      <c r="BZ218" s="44"/>
      <c r="CA218" s="44"/>
      <c r="CB218" s="44"/>
      <c r="CC218" s="44"/>
      <c r="CD218" s="49"/>
      <c r="CE218" s="44"/>
      <c r="CF218" s="44"/>
      <c r="CG218" s="44"/>
      <c r="CH218" s="44"/>
      <c r="CI218" s="44"/>
      <c r="CJ218" s="44"/>
      <c r="CK218" s="44"/>
      <c r="CL218" s="44"/>
      <c r="CM218" s="44"/>
      <c r="CN218" s="44"/>
      <c r="CO218" s="44"/>
      <c r="CP218" s="39"/>
      <c r="CQ218" s="86"/>
      <c r="CR218" s="95"/>
      <c r="CS218" s="95"/>
      <c r="CT218" s="95"/>
      <c r="CU218" s="95"/>
      <c r="CV218" s="95"/>
      <c r="CW218" s="95"/>
      <c r="CX218" s="95"/>
      <c r="CY218" s="95"/>
      <c r="CZ218" s="95"/>
      <c r="DA218" s="95"/>
      <c r="DB218" s="95"/>
      <c r="DC218" s="95"/>
      <c r="DD218" s="95"/>
      <c r="DE218" s="95"/>
      <c r="DF218" s="95"/>
      <c r="DG218" s="95"/>
    </row>
    <row r="219" spans="1:115" ht="14.25" customHeight="1" x14ac:dyDescent="0.55000000000000004">
      <c r="A219" s="37"/>
      <c r="B219" s="24" t="s">
        <v>651</v>
      </c>
      <c r="C219" s="24"/>
      <c r="D219" s="24"/>
      <c r="E219" s="24"/>
      <c r="F219" s="24"/>
      <c r="G219" s="24"/>
      <c r="H219" s="24"/>
      <c r="I219" s="24"/>
      <c r="J219" s="24"/>
      <c r="K219" s="24"/>
      <c r="L219" s="24"/>
      <c r="M219" s="24"/>
      <c r="N219" s="24"/>
      <c r="O219" s="24"/>
      <c r="P219" s="24"/>
      <c r="Q219" s="24"/>
      <c r="R219" s="24"/>
      <c r="S219" s="24"/>
      <c r="T219" s="39"/>
      <c r="U219" s="39"/>
      <c r="V219" s="39"/>
      <c r="W219" s="39"/>
      <c r="X219" s="39"/>
      <c r="Y219" s="39"/>
      <c r="Z219" s="39"/>
      <c r="AA219" s="39"/>
      <c r="AB219" s="39"/>
      <c r="AC219" s="39"/>
      <c r="AD219" s="49"/>
      <c r="AE219" s="39"/>
      <c r="AF219" s="39"/>
      <c r="AG219" s="39"/>
      <c r="AH219" s="39"/>
      <c r="AI219" s="39"/>
      <c r="AJ219" s="39"/>
      <c r="AK219" s="39"/>
      <c r="AL219" s="39"/>
      <c r="AM219" s="39"/>
      <c r="AN219" s="39"/>
      <c r="AO219" s="39"/>
      <c r="AP219" s="39"/>
      <c r="AQ219" s="49"/>
      <c r="AR219" s="39"/>
      <c r="AS219" s="39"/>
      <c r="AT219" s="39"/>
      <c r="AU219" s="39"/>
      <c r="AV219" s="39"/>
      <c r="AW219" s="39"/>
      <c r="AX219" s="39"/>
      <c r="AY219" s="39"/>
      <c r="AZ219" s="39"/>
      <c r="BA219" s="39"/>
      <c r="BB219" s="39"/>
      <c r="BC219" s="39"/>
      <c r="BD219" s="49"/>
      <c r="BE219" s="39"/>
      <c r="BF219" s="39"/>
      <c r="BG219" s="39"/>
      <c r="BH219" s="39"/>
      <c r="BI219" s="39"/>
      <c r="BJ219" s="39"/>
      <c r="BK219" s="39"/>
      <c r="BL219" s="39"/>
      <c r="BM219" s="39"/>
      <c r="BN219" s="39"/>
      <c r="BO219" s="39"/>
      <c r="BP219" s="39"/>
      <c r="BQ219" s="49"/>
      <c r="BR219" s="39"/>
      <c r="BS219" s="39"/>
      <c r="BT219" s="39"/>
      <c r="BU219" s="39"/>
      <c r="BV219" s="39"/>
      <c r="BW219" s="39"/>
      <c r="BX219" s="39"/>
      <c r="BY219" s="39"/>
      <c r="BZ219" s="39"/>
      <c r="CA219" s="39"/>
      <c r="CB219" s="39"/>
      <c r="CC219" s="39"/>
      <c r="CD219" s="49"/>
      <c r="CE219" s="39"/>
      <c r="CF219" s="39"/>
      <c r="CG219" s="39"/>
      <c r="CH219" s="39"/>
      <c r="CI219" s="39"/>
      <c r="CJ219" s="39"/>
      <c r="CK219" s="39"/>
      <c r="CL219" s="39"/>
      <c r="CM219" s="39"/>
      <c r="CN219" s="39"/>
      <c r="CO219" s="39"/>
      <c r="CP219" s="39"/>
      <c r="CQ219" s="49"/>
    </row>
    <row r="220" spans="1:115" ht="14.25" customHeight="1" x14ac:dyDescent="0.4">
      <c r="A220" s="37"/>
      <c r="B220" s="24" t="s">
        <v>665</v>
      </c>
      <c r="C220" s="24"/>
      <c r="D220" s="24"/>
      <c r="E220" s="24"/>
      <c r="F220" s="24"/>
      <c r="G220" s="24"/>
      <c r="H220" s="24"/>
      <c r="I220" s="24"/>
      <c r="J220" s="24"/>
      <c r="L220" s="119"/>
      <c r="N220" s="39"/>
      <c r="O220" s="137"/>
      <c r="P220" s="137"/>
      <c r="Q220" s="138"/>
      <c r="R220" s="137"/>
      <c r="S220" s="137"/>
      <c r="T220" s="137"/>
      <c r="U220" s="137"/>
      <c r="V220" s="137"/>
      <c r="W220" s="137"/>
      <c r="X220" s="137"/>
      <c r="Y220" s="137"/>
      <c r="Z220" s="137"/>
      <c r="AA220" s="137"/>
      <c r="AB220" s="137"/>
      <c r="AC220" s="137"/>
      <c r="AD220" s="138"/>
      <c r="AE220" s="137"/>
      <c r="AF220" s="137"/>
      <c r="AG220" s="137"/>
      <c r="AH220" s="137"/>
      <c r="AI220" s="137"/>
      <c r="AJ220" s="137"/>
      <c r="AK220" s="137"/>
      <c r="AL220" s="137"/>
      <c r="AM220" s="137"/>
      <c r="AN220" s="137"/>
      <c r="AO220" s="137"/>
      <c r="AP220" s="137"/>
      <c r="AQ220" s="138"/>
      <c r="AR220" s="137"/>
      <c r="AS220" s="137"/>
      <c r="AT220" s="137"/>
      <c r="AU220" s="137"/>
      <c r="AV220" s="137"/>
      <c r="AW220" s="137"/>
      <c r="AX220" s="137"/>
      <c r="AY220" s="137"/>
      <c r="AZ220" s="137"/>
      <c r="BA220" s="137"/>
      <c r="BB220" s="137"/>
      <c r="BC220" s="137"/>
      <c r="BD220" s="138"/>
      <c r="BE220" s="137"/>
      <c r="BF220" s="137"/>
      <c r="BG220" s="137"/>
      <c r="BH220" s="137"/>
      <c r="BI220" s="137"/>
      <c r="BJ220" s="137"/>
      <c r="BK220" s="137"/>
      <c r="BL220" s="137"/>
      <c r="BM220" s="137"/>
      <c r="BN220" s="137"/>
      <c r="BO220" s="137"/>
      <c r="BP220" s="137"/>
      <c r="BQ220" s="138"/>
      <c r="BR220" s="137"/>
      <c r="BS220" s="137"/>
      <c r="BT220" s="137"/>
      <c r="BU220" s="137"/>
      <c r="BV220" s="137"/>
      <c r="BW220" s="137"/>
      <c r="BX220" s="137"/>
      <c r="BY220" s="137"/>
      <c r="BZ220" s="137"/>
      <c r="CA220" s="137"/>
      <c r="CB220" s="137"/>
      <c r="CC220" s="137"/>
      <c r="CD220" s="138"/>
      <c r="CE220" s="137"/>
      <c r="CF220" s="137"/>
      <c r="CG220" s="137"/>
      <c r="CH220" s="137"/>
      <c r="CI220" s="137"/>
      <c r="CJ220" s="137"/>
      <c r="CK220" s="137"/>
      <c r="CL220" s="137"/>
      <c r="CM220" s="137"/>
      <c r="CN220" s="137"/>
      <c r="CO220" s="137"/>
      <c r="CP220" s="137"/>
      <c r="CQ220" s="138"/>
    </row>
    <row r="221" spans="1:115" ht="14.25" customHeight="1" x14ac:dyDescent="0.4">
      <c r="A221" s="37"/>
      <c r="C221" s="24"/>
      <c r="N221" s="137"/>
      <c r="Q221" s="24"/>
      <c r="S221" s="119"/>
      <c r="BS221" s="38"/>
      <c r="CD221" s="24"/>
      <c r="CQ221" s="49"/>
    </row>
    <row r="222" spans="1:115" ht="14.25" customHeight="1" x14ac:dyDescent="0.4">
      <c r="A222" s="37"/>
      <c r="C222" s="24"/>
      <c r="Q222" s="24"/>
      <c r="BS222" s="38"/>
      <c r="CD222" s="24"/>
      <c r="CQ222" s="49"/>
    </row>
    <row r="223" spans="1:115" ht="14.25" customHeight="1" x14ac:dyDescent="0.4">
      <c r="C223" s="24"/>
      <c r="D223" s="139"/>
      <c r="Q223" s="24"/>
      <c r="BS223" s="38"/>
      <c r="CD223" s="24"/>
      <c r="CQ223" s="49"/>
    </row>
  </sheetData>
  <pageMargins left="0.7" right="0.7" top="0.75" bottom="0.75"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CI100"/>
  <sheetViews>
    <sheetView workbookViewId="0"/>
  </sheetViews>
  <sheetFormatPr defaultColWidth="12.61328125" defaultRowHeight="15" customHeight="1" x14ac:dyDescent="0.4"/>
  <cols>
    <col min="1" max="1" width="15.23046875" customWidth="1"/>
    <col min="2" max="2" width="13.15234375" customWidth="1"/>
    <col min="3" max="4" width="11.4609375" customWidth="1"/>
    <col min="5" max="5" width="19.23046875" customWidth="1"/>
    <col min="6" max="6" width="12.23046875" customWidth="1"/>
    <col min="7" max="18" width="11.4609375" customWidth="1"/>
    <col min="19" max="80" width="10.4609375" customWidth="1"/>
    <col min="81" max="85" width="9.69140625" customWidth="1"/>
    <col min="86" max="87" width="7.69140625" customWidth="1"/>
  </cols>
  <sheetData>
    <row r="1" spans="1:87" ht="14.25" customHeight="1" x14ac:dyDescent="0.55000000000000004">
      <c r="A1" s="407" t="s">
        <v>541</v>
      </c>
      <c r="B1" s="408"/>
      <c r="C1" s="408"/>
      <c r="D1" s="409"/>
    </row>
    <row r="2" spans="1:87" ht="12" customHeight="1" x14ac:dyDescent="0.55000000000000004">
      <c r="A2" s="410"/>
      <c r="B2" s="109"/>
    </row>
    <row r="3" spans="1:87" ht="14.25" customHeight="1" x14ac:dyDescent="0.4">
      <c r="A3" s="633" t="s">
        <v>189</v>
      </c>
      <c r="B3" s="634"/>
      <c r="C3" s="24"/>
    </row>
    <row r="4" spans="1:87" ht="14.25" customHeight="1" x14ac:dyDescent="0.4">
      <c r="A4" s="71" t="s">
        <v>542</v>
      </c>
      <c r="B4" s="71"/>
      <c r="C4" s="24"/>
      <c r="E4" t="s">
        <v>543</v>
      </c>
      <c r="F4" s="147">
        <v>300000</v>
      </c>
    </row>
    <row r="5" spans="1:87" ht="14.25" customHeight="1" x14ac:dyDescent="0.4">
      <c r="A5" s="131" t="s">
        <v>191</v>
      </c>
      <c r="B5" s="70"/>
      <c r="C5" s="142" t="e">
        <f>'Budget First 84 months'!#REF!</f>
        <v>#REF!</v>
      </c>
      <c r="E5" t="s">
        <v>192</v>
      </c>
      <c r="F5" s="411" t="s">
        <v>544</v>
      </c>
    </row>
    <row r="6" spans="1:87" ht="14.25" customHeight="1" x14ac:dyDescent="0.4">
      <c r="A6" s="131" t="s">
        <v>194</v>
      </c>
      <c r="B6" s="70"/>
      <c r="C6" s="143">
        <v>7</v>
      </c>
      <c r="E6" t="s">
        <v>545</v>
      </c>
      <c r="F6">
        <v>84</v>
      </c>
    </row>
    <row r="7" spans="1:87" ht="14.25" customHeight="1" x14ac:dyDescent="0.4">
      <c r="A7" t="s">
        <v>241</v>
      </c>
      <c r="C7" s="144">
        <v>5.5E-2</v>
      </c>
      <c r="E7" t="s">
        <v>197</v>
      </c>
      <c r="F7" s="145">
        <f>C7/12</f>
        <v>4.5833333333333334E-3</v>
      </c>
    </row>
    <row r="8" spans="1:87" ht="14.25" customHeight="1" x14ac:dyDescent="0.4">
      <c r="A8" t="s">
        <v>198</v>
      </c>
      <c r="C8" s="146" t="s">
        <v>213</v>
      </c>
      <c r="E8" t="s">
        <v>200</v>
      </c>
      <c r="F8" s="147" t="e">
        <f>PMT(F7,F6,-C5,0)</f>
        <v>#REF!</v>
      </c>
    </row>
    <row r="10" spans="1:87" ht="14.25" customHeight="1" x14ac:dyDescent="0.4">
      <c r="A10" s="71" t="s">
        <v>172</v>
      </c>
      <c r="B10" s="71">
        <v>10</v>
      </c>
      <c r="C10" s="71">
        <v>11</v>
      </c>
      <c r="D10" s="71">
        <v>12</v>
      </c>
      <c r="E10" s="71">
        <v>13</v>
      </c>
      <c r="F10" s="71">
        <v>14</v>
      </c>
      <c r="G10" s="71">
        <v>15</v>
      </c>
      <c r="H10" s="71">
        <v>16</v>
      </c>
      <c r="I10" s="71">
        <v>17</v>
      </c>
      <c r="J10" s="71">
        <v>18</v>
      </c>
      <c r="K10" s="71">
        <v>19</v>
      </c>
      <c r="L10" s="71">
        <v>20</v>
      </c>
      <c r="M10" s="71">
        <v>21</v>
      </c>
      <c r="N10" s="71">
        <v>22</v>
      </c>
      <c r="O10" s="71">
        <v>23</v>
      </c>
      <c r="P10" s="71">
        <v>24</v>
      </c>
      <c r="Q10" s="71">
        <v>25</v>
      </c>
      <c r="R10" s="71">
        <v>26</v>
      </c>
      <c r="S10" s="71">
        <v>27</v>
      </c>
      <c r="T10" s="71">
        <v>28</v>
      </c>
      <c r="U10" s="71">
        <v>29</v>
      </c>
      <c r="V10" s="71">
        <v>30</v>
      </c>
      <c r="W10" s="71">
        <v>31</v>
      </c>
      <c r="X10" s="71">
        <v>32</v>
      </c>
      <c r="Y10" s="71">
        <v>33</v>
      </c>
      <c r="Z10" s="71">
        <v>34</v>
      </c>
      <c r="AA10" s="71">
        <v>35</v>
      </c>
      <c r="AB10" s="71">
        <v>36</v>
      </c>
      <c r="AC10" s="71">
        <v>37</v>
      </c>
      <c r="AD10" s="71">
        <v>38</v>
      </c>
      <c r="AE10" s="71">
        <v>39</v>
      </c>
      <c r="AF10" s="71">
        <v>40</v>
      </c>
      <c r="AG10" s="71">
        <v>41</v>
      </c>
      <c r="AH10" s="71">
        <v>42</v>
      </c>
      <c r="AI10" s="71">
        <v>43</v>
      </c>
      <c r="AJ10" s="71">
        <v>44</v>
      </c>
      <c r="AK10" s="71">
        <v>45</v>
      </c>
      <c r="AL10" s="71">
        <v>46</v>
      </c>
      <c r="AM10" s="71">
        <v>47</v>
      </c>
      <c r="AN10" s="71">
        <v>48</v>
      </c>
      <c r="AO10" s="71">
        <v>49</v>
      </c>
      <c r="AP10" s="71">
        <v>50</v>
      </c>
      <c r="AQ10" s="71">
        <v>51</v>
      </c>
      <c r="AR10" s="71">
        <v>52</v>
      </c>
      <c r="AS10" s="71">
        <v>53</v>
      </c>
      <c r="AT10" s="71">
        <v>54</v>
      </c>
      <c r="AU10" s="71">
        <v>55</v>
      </c>
      <c r="AV10" s="71">
        <v>56</v>
      </c>
      <c r="AW10" s="71">
        <v>57</v>
      </c>
      <c r="AX10" s="71">
        <v>58</v>
      </c>
      <c r="AY10" s="71">
        <v>59</v>
      </c>
      <c r="AZ10" s="71">
        <v>60</v>
      </c>
      <c r="BA10" s="71">
        <v>61</v>
      </c>
      <c r="BB10" s="71">
        <v>62</v>
      </c>
      <c r="BC10" s="71">
        <v>63</v>
      </c>
      <c r="BD10" s="71">
        <v>64</v>
      </c>
      <c r="BE10" s="71">
        <v>65</v>
      </c>
      <c r="BF10" s="71">
        <v>66</v>
      </c>
      <c r="BG10" s="71">
        <v>67</v>
      </c>
      <c r="BH10" s="71">
        <v>68</v>
      </c>
      <c r="BI10" s="71">
        <v>69</v>
      </c>
      <c r="BJ10" s="71">
        <v>70</v>
      </c>
      <c r="BK10" s="71">
        <v>71</v>
      </c>
      <c r="BL10" s="71">
        <v>72</v>
      </c>
      <c r="BM10" s="71">
        <v>73</v>
      </c>
      <c r="BN10" s="71">
        <v>74</v>
      </c>
      <c r="BO10" s="71">
        <v>75</v>
      </c>
      <c r="BP10" s="71">
        <v>76</v>
      </c>
      <c r="BQ10" s="71">
        <v>77</v>
      </c>
      <c r="BR10" s="71">
        <v>78</v>
      </c>
      <c r="BS10" s="71">
        <v>79</v>
      </c>
      <c r="BT10" s="71">
        <v>80</v>
      </c>
      <c r="BU10" s="71">
        <v>81</v>
      </c>
      <c r="BV10" s="71">
        <v>82</v>
      </c>
      <c r="BW10" s="71">
        <v>83</v>
      </c>
      <c r="BX10" s="71">
        <v>84</v>
      </c>
      <c r="BY10" s="71">
        <v>85</v>
      </c>
      <c r="BZ10" s="71">
        <v>86</v>
      </c>
      <c r="CA10" s="71">
        <v>87</v>
      </c>
      <c r="CB10" s="71">
        <v>88</v>
      </c>
      <c r="CC10" s="71">
        <v>89</v>
      </c>
      <c r="CD10" s="71">
        <v>90</v>
      </c>
      <c r="CE10" s="71">
        <v>91</v>
      </c>
      <c r="CF10" s="71">
        <v>92</v>
      </c>
      <c r="CG10" s="71">
        <v>93</v>
      </c>
      <c r="CH10" s="71"/>
      <c r="CI10" s="71"/>
    </row>
    <row r="11" spans="1:87" ht="16.5" customHeight="1" x14ac:dyDescent="0.4">
      <c r="A11" s="24" t="s">
        <v>202</v>
      </c>
      <c r="B11" s="39" t="e">
        <f>C5</f>
        <v>#REF!</v>
      </c>
      <c r="C11" s="39" t="e">
        <f t="shared" ref="C11:CG11" si="0">B15</f>
        <v>#REF!</v>
      </c>
      <c r="D11" s="39" t="e">
        <f t="shared" si="0"/>
        <v>#REF!</v>
      </c>
      <c r="E11" s="39" t="e">
        <f t="shared" si="0"/>
        <v>#REF!</v>
      </c>
      <c r="F11" s="39" t="e">
        <f t="shared" si="0"/>
        <v>#REF!</v>
      </c>
      <c r="G11" s="39" t="e">
        <f t="shared" si="0"/>
        <v>#REF!</v>
      </c>
      <c r="H11" s="39" t="e">
        <f t="shared" si="0"/>
        <v>#REF!</v>
      </c>
      <c r="I11" s="39" t="e">
        <f t="shared" si="0"/>
        <v>#REF!</v>
      </c>
      <c r="J11" s="39" t="e">
        <f t="shared" si="0"/>
        <v>#REF!</v>
      </c>
      <c r="K11" s="39" t="e">
        <f t="shared" si="0"/>
        <v>#REF!</v>
      </c>
      <c r="L11" s="39" t="e">
        <f t="shared" si="0"/>
        <v>#REF!</v>
      </c>
      <c r="M11" s="39" t="e">
        <f t="shared" si="0"/>
        <v>#REF!</v>
      </c>
      <c r="N11" s="39" t="e">
        <f t="shared" si="0"/>
        <v>#REF!</v>
      </c>
      <c r="O11" s="39" t="e">
        <f t="shared" si="0"/>
        <v>#REF!</v>
      </c>
      <c r="P11" s="39" t="e">
        <f t="shared" si="0"/>
        <v>#REF!</v>
      </c>
      <c r="Q11" s="39" t="e">
        <f t="shared" si="0"/>
        <v>#REF!</v>
      </c>
      <c r="R11" s="39" t="e">
        <f t="shared" si="0"/>
        <v>#REF!</v>
      </c>
      <c r="S11" s="39" t="e">
        <f t="shared" si="0"/>
        <v>#REF!</v>
      </c>
      <c r="T11" s="39" t="e">
        <f t="shared" si="0"/>
        <v>#REF!</v>
      </c>
      <c r="U11" s="39" t="e">
        <f t="shared" si="0"/>
        <v>#REF!</v>
      </c>
      <c r="V11" s="39" t="e">
        <f t="shared" si="0"/>
        <v>#REF!</v>
      </c>
      <c r="W11" s="39" t="e">
        <f t="shared" si="0"/>
        <v>#REF!</v>
      </c>
      <c r="X11" s="39" t="e">
        <f t="shared" si="0"/>
        <v>#REF!</v>
      </c>
      <c r="Y11" s="39" t="e">
        <f t="shared" si="0"/>
        <v>#REF!</v>
      </c>
      <c r="Z11" s="39" t="e">
        <f t="shared" si="0"/>
        <v>#REF!</v>
      </c>
      <c r="AA11" s="39" t="e">
        <f t="shared" si="0"/>
        <v>#REF!</v>
      </c>
      <c r="AB11" s="39" t="e">
        <f t="shared" si="0"/>
        <v>#REF!</v>
      </c>
      <c r="AC11" s="39" t="e">
        <f t="shared" si="0"/>
        <v>#REF!</v>
      </c>
      <c r="AD11" s="39" t="e">
        <f t="shared" si="0"/>
        <v>#REF!</v>
      </c>
      <c r="AE11" s="39" t="e">
        <f t="shared" si="0"/>
        <v>#REF!</v>
      </c>
      <c r="AF11" s="39" t="e">
        <f t="shared" si="0"/>
        <v>#REF!</v>
      </c>
      <c r="AG11" s="39" t="e">
        <f t="shared" si="0"/>
        <v>#REF!</v>
      </c>
      <c r="AH11" s="39" t="e">
        <f t="shared" si="0"/>
        <v>#REF!</v>
      </c>
      <c r="AI11" s="39" t="e">
        <f t="shared" si="0"/>
        <v>#REF!</v>
      </c>
      <c r="AJ11" s="39" t="e">
        <f t="shared" si="0"/>
        <v>#REF!</v>
      </c>
      <c r="AK11" s="39" t="e">
        <f t="shared" si="0"/>
        <v>#REF!</v>
      </c>
      <c r="AL11" s="39" t="e">
        <f t="shared" si="0"/>
        <v>#REF!</v>
      </c>
      <c r="AM11" s="39" t="e">
        <f t="shared" si="0"/>
        <v>#REF!</v>
      </c>
      <c r="AN11" s="39" t="e">
        <f t="shared" si="0"/>
        <v>#REF!</v>
      </c>
      <c r="AO11" s="39" t="e">
        <f t="shared" si="0"/>
        <v>#REF!</v>
      </c>
      <c r="AP11" s="39" t="e">
        <f t="shared" si="0"/>
        <v>#REF!</v>
      </c>
      <c r="AQ11" s="39" t="e">
        <f t="shared" si="0"/>
        <v>#REF!</v>
      </c>
      <c r="AR11" s="39" t="e">
        <f t="shared" si="0"/>
        <v>#REF!</v>
      </c>
      <c r="AS11" s="39" t="e">
        <f t="shared" si="0"/>
        <v>#REF!</v>
      </c>
      <c r="AT11" s="39" t="e">
        <f t="shared" si="0"/>
        <v>#REF!</v>
      </c>
      <c r="AU11" s="39" t="e">
        <f t="shared" si="0"/>
        <v>#REF!</v>
      </c>
      <c r="AV11" s="39" t="e">
        <f t="shared" si="0"/>
        <v>#REF!</v>
      </c>
      <c r="AW11" s="39" t="e">
        <f t="shared" si="0"/>
        <v>#REF!</v>
      </c>
      <c r="AX11" s="39" t="e">
        <f t="shared" si="0"/>
        <v>#REF!</v>
      </c>
      <c r="AY11" s="39" t="e">
        <f t="shared" si="0"/>
        <v>#REF!</v>
      </c>
      <c r="AZ11" s="39" t="e">
        <f t="shared" si="0"/>
        <v>#REF!</v>
      </c>
      <c r="BA11" s="39" t="e">
        <f t="shared" si="0"/>
        <v>#REF!</v>
      </c>
      <c r="BB11" s="39" t="e">
        <f t="shared" si="0"/>
        <v>#REF!</v>
      </c>
      <c r="BC11" s="39" t="e">
        <f t="shared" si="0"/>
        <v>#REF!</v>
      </c>
      <c r="BD11" s="39" t="e">
        <f t="shared" si="0"/>
        <v>#REF!</v>
      </c>
      <c r="BE11" s="39" t="e">
        <f t="shared" si="0"/>
        <v>#REF!</v>
      </c>
      <c r="BF11" s="39" t="e">
        <f t="shared" si="0"/>
        <v>#REF!</v>
      </c>
      <c r="BG11" s="39" t="e">
        <f t="shared" si="0"/>
        <v>#REF!</v>
      </c>
      <c r="BH11" s="39" t="e">
        <f t="shared" si="0"/>
        <v>#REF!</v>
      </c>
      <c r="BI11" s="39" t="e">
        <f t="shared" si="0"/>
        <v>#REF!</v>
      </c>
      <c r="BJ11" s="39" t="e">
        <f t="shared" si="0"/>
        <v>#REF!</v>
      </c>
      <c r="BK11" s="39" t="e">
        <f t="shared" si="0"/>
        <v>#REF!</v>
      </c>
      <c r="BL11" s="39" t="e">
        <f t="shared" si="0"/>
        <v>#REF!</v>
      </c>
      <c r="BM11" s="39" t="e">
        <f t="shared" si="0"/>
        <v>#REF!</v>
      </c>
      <c r="BN11" s="39" t="e">
        <f t="shared" si="0"/>
        <v>#REF!</v>
      </c>
      <c r="BO11" s="39" t="e">
        <f t="shared" si="0"/>
        <v>#REF!</v>
      </c>
      <c r="BP11" s="39" t="e">
        <f t="shared" si="0"/>
        <v>#REF!</v>
      </c>
      <c r="BQ11" s="39" t="e">
        <f t="shared" si="0"/>
        <v>#REF!</v>
      </c>
      <c r="BR11" s="39" t="e">
        <f t="shared" si="0"/>
        <v>#REF!</v>
      </c>
      <c r="BS11" s="39" t="e">
        <f t="shared" si="0"/>
        <v>#REF!</v>
      </c>
      <c r="BT11" s="39" t="e">
        <f t="shared" si="0"/>
        <v>#REF!</v>
      </c>
      <c r="BU11" s="39" t="e">
        <f t="shared" si="0"/>
        <v>#REF!</v>
      </c>
      <c r="BV11" s="39" t="e">
        <f t="shared" si="0"/>
        <v>#REF!</v>
      </c>
      <c r="BW11" s="39" t="e">
        <f t="shared" si="0"/>
        <v>#REF!</v>
      </c>
      <c r="BX11" s="39" t="e">
        <f t="shared" si="0"/>
        <v>#REF!</v>
      </c>
      <c r="BY11" s="39" t="e">
        <f t="shared" si="0"/>
        <v>#REF!</v>
      </c>
      <c r="BZ11" s="39" t="e">
        <f t="shared" si="0"/>
        <v>#REF!</v>
      </c>
      <c r="CA11" s="39" t="e">
        <f t="shared" si="0"/>
        <v>#REF!</v>
      </c>
      <c r="CB11" s="39" t="e">
        <f t="shared" si="0"/>
        <v>#REF!</v>
      </c>
      <c r="CC11" s="39" t="e">
        <f t="shared" si="0"/>
        <v>#REF!</v>
      </c>
      <c r="CD11" s="39" t="e">
        <f t="shared" si="0"/>
        <v>#REF!</v>
      </c>
      <c r="CE11" s="39" t="e">
        <f t="shared" si="0"/>
        <v>#REF!</v>
      </c>
      <c r="CF11" s="39" t="e">
        <f t="shared" si="0"/>
        <v>#REF!</v>
      </c>
      <c r="CG11" s="39" t="e">
        <f t="shared" si="0"/>
        <v>#REF!</v>
      </c>
    </row>
    <row r="12" spans="1:87" ht="14.25" customHeight="1" x14ac:dyDescent="0.4">
      <c r="A12" s="24" t="s">
        <v>203</v>
      </c>
      <c r="B12" s="39" t="e">
        <f t="shared" ref="B12:CG12" si="1">$F$8</f>
        <v>#REF!</v>
      </c>
      <c r="C12" s="39" t="e">
        <f t="shared" si="1"/>
        <v>#REF!</v>
      </c>
      <c r="D12" s="39" t="e">
        <f t="shared" si="1"/>
        <v>#REF!</v>
      </c>
      <c r="E12" s="39" t="e">
        <f t="shared" si="1"/>
        <v>#REF!</v>
      </c>
      <c r="F12" s="39" t="e">
        <f t="shared" si="1"/>
        <v>#REF!</v>
      </c>
      <c r="G12" s="39" t="e">
        <f t="shared" si="1"/>
        <v>#REF!</v>
      </c>
      <c r="H12" s="39" t="e">
        <f t="shared" si="1"/>
        <v>#REF!</v>
      </c>
      <c r="I12" s="39" t="e">
        <f t="shared" si="1"/>
        <v>#REF!</v>
      </c>
      <c r="J12" s="39" t="e">
        <f t="shared" si="1"/>
        <v>#REF!</v>
      </c>
      <c r="K12" s="39" t="e">
        <f t="shared" si="1"/>
        <v>#REF!</v>
      </c>
      <c r="L12" s="39" t="e">
        <f t="shared" si="1"/>
        <v>#REF!</v>
      </c>
      <c r="M12" s="39" t="e">
        <f t="shared" si="1"/>
        <v>#REF!</v>
      </c>
      <c r="N12" s="39" t="e">
        <f t="shared" si="1"/>
        <v>#REF!</v>
      </c>
      <c r="O12" s="39" t="e">
        <f t="shared" si="1"/>
        <v>#REF!</v>
      </c>
      <c r="P12" s="39" t="e">
        <f t="shared" si="1"/>
        <v>#REF!</v>
      </c>
      <c r="Q12" s="39" t="e">
        <f t="shared" si="1"/>
        <v>#REF!</v>
      </c>
      <c r="R12" s="39" t="e">
        <f t="shared" si="1"/>
        <v>#REF!</v>
      </c>
      <c r="S12" s="39" t="e">
        <f t="shared" si="1"/>
        <v>#REF!</v>
      </c>
      <c r="T12" s="39" t="e">
        <f t="shared" si="1"/>
        <v>#REF!</v>
      </c>
      <c r="U12" s="39" t="e">
        <f t="shared" si="1"/>
        <v>#REF!</v>
      </c>
      <c r="V12" s="39" t="e">
        <f t="shared" si="1"/>
        <v>#REF!</v>
      </c>
      <c r="W12" s="39" t="e">
        <f t="shared" si="1"/>
        <v>#REF!</v>
      </c>
      <c r="X12" s="39" t="e">
        <f t="shared" si="1"/>
        <v>#REF!</v>
      </c>
      <c r="Y12" s="39" t="e">
        <f t="shared" si="1"/>
        <v>#REF!</v>
      </c>
      <c r="Z12" s="39" t="e">
        <f t="shared" si="1"/>
        <v>#REF!</v>
      </c>
      <c r="AA12" s="39" t="e">
        <f t="shared" si="1"/>
        <v>#REF!</v>
      </c>
      <c r="AB12" s="39" t="e">
        <f t="shared" si="1"/>
        <v>#REF!</v>
      </c>
      <c r="AC12" s="39" t="e">
        <f t="shared" si="1"/>
        <v>#REF!</v>
      </c>
      <c r="AD12" s="39" t="e">
        <f t="shared" si="1"/>
        <v>#REF!</v>
      </c>
      <c r="AE12" s="39" t="e">
        <f t="shared" si="1"/>
        <v>#REF!</v>
      </c>
      <c r="AF12" s="39" t="e">
        <f t="shared" si="1"/>
        <v>#REF!</v>
      </c>
      <c r="AG12" s="39" t="e">
        <f t="shared" si="1"/>
        <v>#REF!</v>
      </c>
      <c r="AH12" s="39" t="e">
        <f t="shared" si="1"/>
        <v>#REF!</v>
      </c>
      <c r="AI12" s="39" t="e">
        <f t="shared" si="1"/>
        <v>#REF!</v>
      </c>
      <c r="AJ12" s="39" t="e">
        <f t="shared" si="1"/>
        <v>#REF!</v>
      </c>
      <c r="AK12" s="39" t="e">
        <f t="shared" si="1"/>
        <v>#REF!</v>
      </c>
      <c r="AL12" s="39" t="e">
        <f t="shared" si="1"/>
        <v>#REF!</v>
      </c>
      <c r="AM12" s="39" t="e">
        <f t="shared" si="1"/>
        <v>#REF!</v>
      </c>
      <c r="AN12" s="39" t="e">
        <f t="shared" si="1"/>
        <v>#REF!</v>
      </c>
      <c r="AO12" s="39" t="e">
        <f t="shared" si="1"/>
        <v>#REF!</v>
      </c>
      <c r="AP12" s="39" t="e">
        <f t="shared" si="1"/>
        <v>#REF!</v>
      </c>
      <c r="AQ12" s="39" t="e">
        <f t="shared" si="1"/>
        <v>#REF!</v>
      </c>
      <c r="AR12" s="39" t="e">
        <f t="shared" si="1"/>
        <v>#REF!</v>
      </c>
      <c r="AS12" s="39" t="e">
        <f t="shared" si="1"/>
        <v>#REF!</v>
      </c>
      <c r="AT12" s="39" t="e">
        <f t="shared" si="1"/>
        <v>#REF!</v>
      </c>
      <c r="AU12" s="39" t="e">
        <f t="shared" si="1"/>
        <v>#REF!</v>
      </c>
      <c r="AV12" s="39" t="e">
        <f t="shared" si="1"/>
        <v>#REF!</v>
      </c>
      <c r="AW12" s="39" t="e">
        <f t="shared" si="1"/>
        <v>#REF!</v>
      </c>
      <c r="AX12" s="39" t="e">
        <f t="shared" si="1"/>
        <v>#REF!</v>
      </c>
      <c r="AY12" s="39" t="e">
        <f t="shared" si="1"/>
        <v>#REF!</v>
      </c>
      <c r="AZ12" s="39" t="e">
        <f t="shared" si="1"/>
        <v>#REF!</v>
      </c>
      <c r="BA12" s="39" t="e">
        <f t="shared" si="1"/>
        <v>#REF!</v>
      </c>
      <c r="BB12" s="39" t="e">
        <f t="shared" si="1"/>
        <v>#REF!</v>
      </c>
      <c r="BC12" s="39" t="e">
        <f t="shared" si="1"/>
        <v>#REF!</v>
      </c>
      <c r="BD12" s="39" t="e">
        <f t="shared" si="1"/>
        <v>#REF!</v>
      </c>
      <c r="BE12" s="39" t="e">
        <f t="shared" si="1"/>
        <v>#REF!</v>
      </c>
      <c r="BF12" s="39" t="e">
        <f t="shared" si="1"/>
        <v>#REF!</v>
      </c>
      <c r="BG12" s="39" t="e">
        <f t="shared" si="1"/>
        <v>#REF!</v>
      </c>
      <c r="BH12" s="39" t="e">
        <f t="shared" si="1"/>
        <v>#REF!</v>
      </c>
      <c r="BI12" s="39" t="e">
        <f t="shared" si="1"/>
        <v>#REF!</v>
      </c>
      <c r="BJ12" s="39" t="e">
        <f t="shared" si="1"/>
        <v>#REF!</v>
      </c>
      <c r="BK12" s="39" t="e">
        <f t="shared" si="1"/>
        <v>#REF!</v>
      </c>
      <c r="BL12" s="39" t="e">
        <f t="shared" si="1"/>
        <v>#REF!</v>
      </c>
      <c r="BM12" s="39" t="e">
        <f t="shared" si="1"/>
        <v>#REF!</v>
      </c>
      <c r="BN12" s="39" t="e">
        <f t="shared" si="1"/>
        <v>#REF!</v>
      </c>
      <c r="BO12" s="39" t="e">
        <f t="shared" si="1"/>
        <v>#REF!</v>
      </c>
      <c r="BP12" s="39" t="e">
        <f t="shared" si="1"/>
        <v>#REF!</v>
      </c>
      <c r="BQ12" s="39" t="e">
        <f t="shared" si="1"/>
        <v>#REF!</v>
      </c>
      <c r="BR12" s="39" t="e">
        <f t="shared" si="1"/>
        <v>#REF!</v>
      </c>
      <c r="BS12" s="39" t="e">
        <f t="shared" si="1"/>
        <v>#REF!</v>
      </c>
      <c r="BT12" s="39" t="e">
        <f t="shared" si="1"/>
        <v>#REF!</v>
      </c>
      <c r="BU12" s="39" t="e">
        <f t="shared" si="1"/>
        <v>#REF!</v>
      </c>
      <c r="BV12" s="39" t="e">
        <f t="shared" si="1"/>
        <v>#REF!</v>
      </c>
      <c r="BW12" s="39" t="e">
        <f t="shared" si="1"/>
        <v>#REF!</v>
      </c>
      <c r="BX12" s="39" t="e">
        <f t="shared" si="1"/>
        <v>#REF!</v>
      </c>
      <c r="BY12" s="39" t="e">
        <f t="shared" si="1"/>
        <v>#REF!</v>
      </c>
      <c r="BZ12" s="39" t="e">
        <f t="shared" si="1"/>
        <v>#REF!</v>
      </c>
      <c r="CA12" s="39" t="e">
        <f t="shared" si="1"/>
        <v>#REF!</v>
      </c>
      <c r="CB12" s="39" t="e">
        <f t="shared" si="1"/>
        <v>#REF!</v>
      </c>
      <c r="CC12" s="39" t="e">
        <f t="shared" si="1"/>
        <v>#REF!</v>
      </c>
      <c r="CD12" s="39" t="e">
        <f t="shared" si="1"/>
        <v>#REF!</v>
      </c>
      <c r="CE12" s="39" t="e">
        <f t="shared" si="1"/>
        <v>#REF!</v>
      </c>
      <c r="CF12" s="39" t="e">
        <f t="shared" si="1"/>
        <v>#REF!</v>
      </c>
      <c r="CG12" s="39" t="e">
        <f t="shared" si="1"/>
        <v>#REF!</v>
      </c>
    </row>
    <row r="13" spans="1:87" ht="14.25" customHeight="1" x14ac:dyDescent="0.4">
      <c r="A13" s="24" t="s">
        <v>204</v>
      </c>
      <c r="B13" s="39" t="e">
        <f t="shared" ref="B13:CG13" si="2">-B11*$F$7</f>
        <v>#REF!</v>
      </c>
      <c r="C13" s="39" t="e">
        <f t="shared" si="2"/>
        <v>#REF!</v>
      </c>
      <c r="D13" s="39" t="e">
        <f t="shared" si="2"/>
        <v>#REF!</v>
      </c>
      <c r="E13" s="39" t="e">
        <f t="shared" si="2"/>
        <v>#REF!</v>
      </c>
      <c r="F13" s="39" t="e">
        <f t="shared" si="2"/>
        <v>#REF!</v>
      </c>
      <c r="G13" s="39" t="e">
        <f t="shared" si="2"/>
        <v>#REF!</v>
      </c>
      <c r="H13" s="39" t="e">
        <f t="shared" si="2"/>
        <v>#REF!</v>
      </c>
      <c r="I13" s="39" t="e">
        <f t="shared" si="2"/>
        <v>#REF!</v>
      </c>
      <c r="J13" s="39" t="e">
        <f t="shared" si="2"/>
        <v>#REF!</v>
      </c>
      <c r="K13" s="39" t="e">
        <f t="shared" si="2"/>
        <v>#REF!</v>
      </c>
      <c r="L13" s="39" t="e">
        <f t="shared" si="2"/>
        <v>#REF!</v>
      </c>
      <c r="M13" s="39" t="e">
        <f t="shared" si="2"/>
        <v>#REF!</v>
      </c>
      <c r="N13" s="39" t="e">
        <f t="shared" si="2"/>
        <v>#REF!</v>
      </c>
      <c r="O13" s="39" t="e">
        <f t="shared" si="2"/>
        <v>#REF!</v>
      </c>
      <c r="P13" s="39" t="e">
        <f t="shared" si="2"/>
        <v>#REF!</v>
      </c>
      <c r="Q13" s="39" t="e">
        <f t="shared" si="2"/>
        <v>#REF!</v>
      </c>
      <c r="R13" s="39" t="e">
        <f t="shared" si="2"/>
        <v>#REF!</v>
      </c>
      <c r="S13" s="39" t="e">
        <f t="shared" si="2"/>
        <v>#REF!</v>
      </c>
      <c r="T13" s="39" t="e">
        <f t="shared" si="2"/>
        <v>#REF!</v>
      </c>
      <c r="U13" s="39" t="e">
        <f t="shared" si="2"/>
        <v>#REF!</v>
      </c>
      <c r="V13" s="39" t="e">
        <f t="shared" si="2"/>
        <v>#REF!</v>
      </c>
      <c r="W13" s="39" t="e">
        <f t="shared" si="2"/>
        <v>#REF!</v>
      </c>
      <c r="X13" s="39" t="e">
        <f t="shared" si="2"/>
        <v>#REF!</v>
      </c>
      <c r="Y13" s="39" t="e">
        <f t="shared" si="2"/>
        <v>#REF!</v>
      </c>
      <c r="Z13" s="39" t="e">
        <f t="shared" si="2"/>
        <v>#REF!</v>
      </c>
      <c r="AA13" s="39" t="e">
        <f t="shared" si="2"/>
        <v>#REF!</v>
      </c>
      <c r="AB13" s="39" t="e">
        <f t="shared" si="2"/>
        <v>#REF!</v>
      </c>
      <c r="AC13" s="39" t="e">
        <f t="shared" si="2"/>
        <v>#REF!</v>
      </c>
      <c r="AD13" s="39" t="e">
        <f t="shared" si="2"/>
        <v>#REF!</v>
      </c>
      <c r="AE13" s="39" t="e">
        <f t="shared" si="2"/>
        <v>#REF!</v>
      </c>
      <c r="AF13" s="39" t="e">
        <f t="shared" si="2"/>
        <v>#REF!</v>
      </c>
      <c r="AG13" s="39" t="e">
        <f t="shared" si="2"/>
        <v>#REF!</v>
      </c>
      <c r="AH13" s="39" t="e">
        <f t="shared" si="2"/>
        <v>#REF!</v>
      </c>
      <c r="AI13" s="39" t="e">
        <f t="shared" si="2"/>
        <v>#REF!</v>
      </c>
      <c r="AJ13" s="39" t="e">
        <f t="shared" si="2"/>
        <v>#REF!</v>
      </c>
      <c r="AK13" s="39" t="e">
        <f t="shared" si="2"/>
        <v>#REF!</v>
      </c>
      <c r="AL13" s="39" t="e">
        <f t="shared" si="2"/>
        <v>#REF!</v>
      </c>
      <c r="AM13" s="39" t="e">
        <f t="shared" si="2"/>
        <v>#REF!</v>
      </c>
      <c r="AN13" s="39" t="e">
        <f t="shared" si="2"/>
        <v>#REF!</v>
      </c>
      <c r="AO13" s="39" t="e">
        <f t="shared" si="2"/>
        <v>#REF!</v>
      </c>
      <c r="AP13" s="39" t="e">
        <f t="shared" si="2"/>
        <v>#REF!</v>
      </c>
      <c r="AQ13" s="39" t="e">
        <f t="shared" si="2"/>
        <v>#REF!</v>
      </c>
      <c r="AR13" s="39" t="e">
        <f t="shared" si="2"/>
        <v>#REF!</v>
      </c>
      <c r="AS13" s="39" t="e">
        <f t="shared" si="2"/>
        <v>#REF!</v>
      </c>
      <c r="AT13" s="39" t="e">
        <f t="shared" si="2"/>
        <v>#REF!</v>
      </c>
      <c r="AU13" s="39" t="e">
        <f t="shared" si="2"/>
        <v>#REF!</v>
      </c>
      <c r="AV13" s="39" t="e">
        <f t="shared" si="2"/>
        <v>#REF!</v>
      </c>
      <c r="AW13" s="39" t="e">
        <f t="shared" si="2"/>
        <v>#REF!</v>
      </c>
      <c r="AX13" s="39" t="e">
        <f t="shared" si="2"/>
        <v>#REF!</v>
      </c>
      <c r="AY13" s="39" t="e">
        <f t="shared" si="2"/>
        <v>#REF!</v>
      </c>
      <c r="AZ13" s="39" t="e">
        <f t="shared" si="2"/>
        <v>#REF!</v>
      </c>
      <c r="BA13" s="39" t="e">
        <f t="shared" si="2"/>
        <v>#REF!</v>
      </c>
      <c r="BB13" s="39" t="e">
        <f t="shared" si="2"/>
        <v>#REF!</v>
      </c>
      <c r="BC13" s="39" t="e">
        <f t="shared" si="2"/>
        <v>#REF!</v>
      </c>
      <c r="BD13" s="39" t="e">
        <f t="shared" si="2"/>
        <v>#REF!</v>
      </c>
      <c r="BE13" s="39" t="e">
        <f t="shared" si="2"/>
        <v>#REF!</v>
      </c>
      <c r="BF13" s="39" t="e">
        <f t="shared" si="2"/>
        <v>#REF!</v>
      </c>
      <c r="BG13" s="39" t="e">
        <f t="shared" si="2"/>
        <v>#REF!</v>
      </c>
      <c r="BH13" s="39" t="e">
        <f t="shared" si="2"/>
        <v>#REF!</v>
      </c>
      <c r="BI13" s="39" t="e">
        <f t="shared" si="2"/>
        <v>#REF!</v>
      </c>
      <c r="BJ13" s="39" t="e">
        <f t="shared" si="2"/>
        <v>#REF!</v>
      </c>
      <c r="BK13" s="39" t="e">
        <f t="shared" si="2"/>
        <v>#REF!</v>
      </c>
      <c r="BL13" s="39" t="e">
        <f t="shared" si="2"/>
        <v>#REF!</v>
      </c>
      <c r="BM13" s="39" t="e">
        <f t="shared" si="2"/>
        <v>#REF!</v>
      </c>
      <c r="BN13" s="39" t="e">
        <f t="shared" si="2"/>
        <v>#REF!</v>
      </c>
      <c r="BO13" s="39" t="e">
        <f t="shared" si="2"/>
        <v>#REF!</v>
      </c>
      <c r="BP13" s="39" t="e">
        <f t="shared" si="2"/>
        <v>#REF!</v>
      </c>
      <c r="BQ13" s="39" t="e">
        <f t="shared" si="2"/>
        <v>#REF!</v>
      </c>
      <c r="BR13" s="39" t="e">
        <f t="shared" si="2"/>
        <v>#REF!</v>
      </c>
      <c r="BS13" s="39" t="e">
        <f t="shared" si="2"/>
        <v>#REF!</v>
      </c>
      <c r="BT13" s="39" t="e">
        <f t="shared" si="2"/>
        <v>#REF!</v>
      </c>
      <c r="BU13" s="39" t="e">
        <f t="shared" si="2"/>
        <v>#REF!</v>
      </c>
      <c r="BV13" s="39" t="e">
        <f t="shared" si="2"/>
        <v>#REF!</v>
      </c>
      <c r="BW13" s="39" t="e">
        <f t="shared" si="2"/>
        <v>#REF!</v>
      </c>
      <c r="BX13" s="39" t="e">
        <f t="shared" si="2"/>
        <v>#REF!</v>
      </c>
      <c r="BY13" s="39" t="e">
        <f t="shared" si="2"/>
        <v>#REF!</v>
      </c>
      <c r="BZ13" s="39" t="e">
        <f t="shared" si="2"/>
        <v>#REF!</v>
      </c>
      <c r="CA13" s="39" t="e">
        <f t="shared" si="2"/>
        <v>#REF!</v>
      </c>
      <c r="CB13" s="39" t="e">
        <f t="shared" si="2"/>
        <v>#REF!</v>
      </c>
      <c r="CC13" s="39" t="e">
        <f t="shared" si="2"/>
        <v>#REF!</v>
      </c>
      <c r="CD13" s="39" t="e">
        <f t="shared" si="2"/>
        <v>#REF!</v>
      </c>
      <c r="CE13" s="39" t="e">
        <f t="shared" si="2"/>
        <v>#REF!</v>
      </c>
      <c r="CF13" s="39" t="e">
        <f t="shared" si="2"/>
        <v>#REF!</v>
      </c>
      <c r="CG13" s="39" t="e">
        <f t="shared" si="2"/>
        <v>#REF!</v>
      </c>
    </row>
    <row r="14" spans="1:87" ht="14.25" customHeight="1" x14ac:dyDescent="0.4">
      <c r="A14" s="24" t="s">
        <v>205</v>
      </c>
      <c r="B14" s="39" t="e">
        <f t="shared" ref="B14:CG14" si="3">B12+B13</f>
        <v>#REF!</v>
      </c>
      <c r="C14" s="39" t="e">
        <f t="shared" si="3"/>
        <v>#REF!</v>
      </c>
      <c r="D14" s="39" t="e">
        <f t="shared" si="3"/>
        <v>#REF!</v>
      </c>
      <c r="E14" s="39" t="e">
        <f t="shared" si="3"/>
        <v>#REF!</v>
      </c>
      <c r="F14" s="39" t="e">
        <f t="shared" si="3"/>
        <v>#REF!</v>
      </c>
      <c r="G14" s="39" t="e">
        <f t="shared" si="3"/>
        <v>#REF!</v>
      </c>
      <c r="H14" s="39" t="e">
        <f t="shared" si="3"/>
        <v>#REF!</v>
      </c>
      <c r="I14" s="39" t="e">
        <f t="shared" si="3"/>
        <v>#REF!</v>
      </c>
      <c r="J14" s="39" t="e">
        <f t="shared" si="3"/>
        <v>#REF!</v>
      </c>
      <c r="K14" s="39" t="e">
        <f t="shared" si="3"/>
        <v>#REF!</v>
      </c>
      <c r="L14" s="39" t="e">
        <f t="shared" si="3"/>
        <v>#REF!</v>
      </c>
      <c r="M14" s="39" t="e">
        <f t="shared" si="3"/>
        <v>#REF!</v>
      </c>
      <c r="N14" s="39" t="e">
        <f t="shared" si="3"/>
        <v>#REF!</v>
      </c>
      <c r="O14" s="39" t="e">
        <f t="shared" si="3"/>
        <v>#REF!</v>
      </c>
      <c r="P14" s="39" t="e">
        <f t="shared" si="3"/>
        <v>#REF!</v>
      </c>
      <c r="Q14" s="39" t="e">
        <f t="shared" si="3"/>
        <v>#REF!</v>
      </c>
      <c r="R14" s="39" t="e">
        <f t="shared" si="3"/>
        <v>#REF!</v>
      </c>
      <c r="S14" s="39" t="e">
        <f t="shared" si="3"/>
        <v>#REF!</v>
      </c>
      <c r="T14" s="39" t="e">
        <f t="shared" si="3"/>
        <v>#REF!</v>
      </c>
      <c r="U14" s="39" t="e">
        <f t="shared" si="3"/>
        <v>#REF!</v>
      </c>
      <c r="V14" s="39" t="e">
        <f t="shared" si="3"/>
        <v>#REF!</v>
      </c>
      <c r="W14" s="39" t="e">
        <f t="shared" si="3"/>
        <v>#REF!</v>
      </c>
      <c r="X14" s="39" t="e">
        <f t="shared" si="3"/>
        <v>#REF!</v>
      </c>
      <c r="Y14" s="39" t="e">
        <f t="shared" si="3"/>
        <v>#REF!</v>
      </c>
      <c r="Z14" s="39" t="e">
        <f t="shared" si="3"/>
        <v>#REF!</v>
      </c>
      <c r="AA14" s="39" t="e">
        <f t="shared" si="3"/>
        <v>#REF!</v>
      </c>
      <c r="AB14" s="39" t="e">
        <f t="shared" si="3"/>
        <v>#REF!</v>
      </c>
      <c r="AC14" s="39" t="e">
        <f t="shared" si="3"/>
        <v>#REF!</v>
      </c>
      <c r="AD14" s="39" t="e">
        <f t="shared" si="3"/>
        <v>#REF!</v>
      </c>
      <c r="AE14" s="39" t="e">
        <f t="shared" si="3"/>
        <v>#REF!</v>
      </c>
      <c r="AF14" s="39" t="e">
        <f t="shared" si="3"/>
        <v>#REF!</v>
      </c>
      <c r="AG14" s="39" t="e">
        <f t="shared" si="3"/>
        <v>#REF!</v>
      </c>
      <c r="AH14" s="39" t="e">
        <f t="shared" si="3"/>
        <v>#REF!</v>
      </c>
      <c r="AI14" s="39" t="e">
        <f t="shared" si="3"/>
        <v>#REF!</v>
      </c>
      <c r="AJ14" s="39" t="e">
        <f t="shared" si="3"/>
        <v>#REF!</v>
      </c>
      <c r="AK14" s="39" t="e">
        <f t="shared" si="3"/>
        <v>#REF!</v>
      </c>
      <c r="AL14" s="39" t="e">
        <f t="shared" si="3"/>
        <v>#REF!</v>
      </c>
      <c r="AM14" s="39" t="e">
        <f t="shared" si="3"/>
        <v>#REF!</v>
      </c>
      <c r="AN14" s="39" t="e">
        <f t="shared" si="3"/>
        <v>#REF!</v>
      </c>
      <c r="AO14" s="39" t="e">
        <f t="shared" si="3"/>
        <v>#REF!</v>
      </c>
      <c r="AP14" s="39" t="e">
        <f t="shared" si="3"/>
        <v>#REF!</v>
      </c>
      <c r="AQ14" s="39" t="e">
        <f t="shared" si="3"/>
        <v>#REF!</v>
      </c>
      <c r="AR14" s="39" t="e">
        <f t="shared" si="3"/>
        <v>#REF!</v>
      </c>
      <c r="AS14" s="39" t="e">
        <f t="shared" si="3"/>
        <v>#REF!</v>
      </c>
      <c r="AT14" s="39" t="e">
        <f t="shared" si="3"/>
        <v>#REF!</v>
      </c>
      <c r="AU14" s="39" t="e">
        <f t="shared" si="3"/>
        <v>#REF!</v>
      </c>
      <c r="AV14" s="39" t="e">
        <f t="shared" si="3"/>
        <v>#REF!</v>
      </c>
      <c r="AW14" s="39" t="e">
        <f t="shared" si="3"/>
        <v>#REF!</v>
      </c>
      <c r="AX14" s="39" t="e">
        <f t="shared" si="3"/>
        <v>#REF!</v>
      </c>
      <c r="AY14" s="39" t="e">
        <f t="shared" si="3"/>
        <v>#REF!</v>
      </c>
      <c r="AZ14" s="39" t="e">
        <f t="shared" si="3"/>
        <v>#REF!</v>
      </c>
      <c r="BA14" s="39" t="e">
        <f t="shared" si="3"/>
        <v>#REF!</v>
      </c>
      <c r="BB14" s="39" t="e">
        <f t="shared" si="3"/>
        <v>#REF!</v>
      </c>
      <c r="BC14" s="39" t="e">
        <f t="shared" si="3"/>
        <v>#REF!</v>
      </c>
      <c r="BD14" s="39" t="e">
        <f t="shared" si="3"/>
        <v>#REF!</v>
      </c>
      <c r="BE14" s="39" t="e">
        <f t="shared" si="3"/>
        <v>#REF!</v>
      </c>
      <c r="BF14" s="39" t="e">
        <f t="shared" si="3"/>
        <v>#REF!</v>
      </c>
      <c r="BG14" s="39" t="e">
        <f t="shared" si="3"/>
        <v>#REF!</v>
      </c>
      <c r="BH14" s="39" t="e">
        <f t="shared" si="3"/>
        <v>#REF!</v>
      </c>
      <c r="BI14" s="39" t="e">
        <f t="shared" si="3"/>
        <v>#REF!</v>
      </c>
      <c r="BJ14" s="39" t="e">
        <f t="shared" si="3"/>
        <v>#REF!</v>
      </c>
      <c r="BK14" s="39" t="e">
        <f t="shared" si="3"/>
        <v>#REF!</v>
      </c>
      <c r="BL14" s="39" t="e">
        <f t="shared" si="3"/>
        <v>#REF!</v>
      </c>
      <c r="BM14" s="39" t="e">
        <f t="shared" si="3"/>
        <v>#REF!</v>
      </c>
      <c r="BN14" s="39" t="e">
        <f t="shared" si="3"/>
        <v>#REF!</v>
      </c>
      <c r="BO14" s="39" t="e">
        <f t="shared" si="3"/>
        <v>#REF!</v>
      </c>
      <c r="BP14" s="39" t="e">
        <f t="shared" si="3"/>
        <v>#REF!</v>
      </c>
      <c r="BQ14" s="39" t="e">
        <f t="shared" si="3"/>
        <v>#REF!</v>
      </c>
      <c r="BR14" s="39" t="e">
        <f t="shared" si="3"/>
        <v>#REF!</v>
      </c>
      <c r="BS14" s="39" t="e">
        <f t="shared" si="3"/>
        <v>#REF!</v>
      </c>
      <c r="BT14" s="39" t="e">
        <f t="shared" si="3"/>
        <v>#REF!</v>
      </c>
      <c r="BU14" s="39" t="e">
        <f t="shared" si="3"/>
        <v>#REF!</v>
      </c>
      <c r="BV14" s="39" t="e">
        <f t="shared" si="3"/>
        <v>#REF!</v>
      </c>
      <c r="BW14" s="39" t="e">
        <f t="shared" si="3"/>
        <v>#REF!</v>
      </c>
      <c r="BX14" s="39" t="e">
        <f t="shared" si="3"/>
        <v>#REF!</v>
      </c>
      <c r="BY14" s="39" t="e">
        <f t="shared" si="3"/>
        <v>#REF!</v>
      </c>
      <c r="BZ14" s="39" t="e">
        <f t="shared" si="3"/>
        <v>#REF!</v>
      </c>
      <c r="CA14" s="39" t="e">
        <f t="shared" si="3"/>
        <v>#REF!</v>
      </c>
      <c r="CB14" s="39" t="e">
        <f t="shared" si="3"/>
        <v>#REF!</v>
      </c>
      <c r="CC14" s="39" t="e">
        <f t="shared" si="3"/>
        <v>#REF!</v>
      </c>
      <c r="CD14" s="39" t="e">
        <f t="shared" si="3"/>
        <v>#REF!</v>
      </c>
      <c r="CE14" s="39" t="e">
        <f t="shared" si="3"/>
        <v>#REF!</v>
      </c>
      <c r="CF14" s="39" t="e">
        <f t="shared" si="3"/>
        <v>#REF!</v>
      </c>
      <c r="CG14" s="39" t="e">
        <f t="shared" si="3"/>
        <v>#REF!</v>
      </c>
    </row>
    <row r="15" spans="1:87" ht="13.5" customHeight="1" x14ac:dyDescent="0.4">
      <c r="A15" s="24" t="s">
        <v>206</v>
      </c>
      <c r="B15" s="39" t="e">
        <f t="shared" ref="B15:CG15" si="4">B11-B14</f>
        <v>#REF!</v>
      </c>
      <c r="C15" s="39" t="e">
        <f t="shared" si="4"/>
        <v>#REF!</v>
      </c>
      <c r="D15" s="39" t="e">
        <f t="shared" si="4"/>
        <v>#REF!</v>
      </c>
      <c r="E15" s="39" t="e">
        <f t="shared" si="4"/>
        <v>#REF!</v>
      </c>
      <c r="F15" s="39" t="e">
        <f t="shared" si="4"/>
        <v>#REF!</v>
      </c>
      <c r="G15" s="39" t="e">
        <f t="shared" si="4"/>
        <v>#REF!</v>
      </c>
      <c r="H15" s="39" t="e">
        <f t="shared" si="4"/>
        <v>#REF!</v>
      </c>
      <c r="I15" s="39" t="e">
        <f t="shared" si="4"/>
        <v>#REF!</v>
      </c>
      <c r="J15" s="39" t="e">
        <f t="shared" si="4"/>
        <v>#REF!</v>
      </c>
      <c r="K15" s="39" t="e">
        <f t="shared" si="4"/>
        <v>#REF!</v>
      </c>
      <c r="L15" s="39" t="e">
        <f t="shared" si="4"/>
        <v>#REF!</v>
      </c>
      <c r="M15" s="39" t="e">
        <f t="shared" si="4"/>
        <v>#REF!</v>
      </c>
      <c r="N15" s="39" t="e">
        <f t="shared" si="4"/>
        <v>#REF!</v>
      </c>
      <c r="O15" s="39" t="e">
        <f t="shared" si="4"/>
        <v>#REF!</v>
      </c>
      <c r="P15" s="39" t="e">
        <f t="shared" si="4"/>
        <v>#REF!</v>
      </c>
      <c r="Q15" s="39" t="e">
        <f t="shared" si="4"/>
        <v>#REF!</v>
      </c>
      <c r="R15" s="39" t="e">
        <f t="shared" si="4"/>
        <v>#REF!</v>
      </c>
      <c r="S15" s="39" t="e">
        <f t="shared" si="4"/>
        <v>#REF!</v>
      </c>
      <c r="T15" s="39" t="e">
        <f t="shared" si="4"/>
        <v>#REF!</v>
      </c>
      <c r="U15" s="39" t="e">
        <f t="shared" si="4"/>
        <v>#REF!</v>
      </c>
      <c r="V15" s="39" t="e">
        <f t="shared" si="4"/>
        <v>#REF!</v>
      </c>
      <c r="W15" s="39" t="e">
        <f t="shared" si="4"/>
        <v>#REF!</v>
      </c>
      <c r="X15" s="39" t="e">
        <f t="shared" si="4"/>
        <v>#REF!</v>
      </c>
      <c r="Y15" s="39" t="e">
        <f t="shared" si="4"/>
        <v>#REF!</v>
      </c>
      <c r="Z15" s="39" t="e">
        <f t="shared" si="4"/>
        <v>#REF!</v>
      </c>
      <c r="AA15" s="39" t="e">
        <f t="shared" si="4"/>
        <v>#REF!</v>
      </c>
      <c r="AB15" s="39" t="e">
        <f t="shared" si="4"/>
        <v>#REF!</v>
      </c>
      <c r="AC15" s="39" t="e">
        <f t="shared" si="4"/>
        <v>#REF!</v>
      </c>
      <c r="AD15" s="39" t="e">
        <f t="shared" si="4"/>
        <v>#REF!</v>
      </c>
      <c r="AE15" s="39" t="e">
        <f t="shared" si="4"/>
        <v>#REF!</v>
      </c>
      <c r="AF15" s="39" t="e">
        <f t="shared" si="4"/>
        <v>#REF!</v>
      </c>
      <c r="AG15" s="39" t="e">
        <f t="shared" si="4"/>
        <v>#REF!</v>
      </c>
      <c r="AH15" s="39" t="e">
        <f t="shared" si="4"/>
        <v>#REF!</v>
      </c>
      <c r="AI15" s="39" t="e">
        <f t="shared" si="4"/>
        <v>#REF!</v>
      </c>
      <c r="AJ15" s="39" t="e">
        <f t="shared" si="4"/>
        <v>#REF!</v>
      </c>
      <c r="AK15" s="39" t="e">
        <f t="shared" si="4"/>
        <v>#REF!</v>
      </c>
      <c r="AL15" s="39" t="e">
        <f t="shared" si="4"/>
        <v>#REF!</v>
      </c>
      <c r="AM15" s="39" t="e">
        <f t="shared" si="4"/>
        <v>#REF!</v>
      </c>
      <c r="AN15" s="39" t="e">
        <f t="shared" si="4"/>
        <v>#REF!</v>
      </c>
      <c r="AO15" s="39" t="e">
        <f t="shared" si="4"/>
        <v>#REF!</v>
      </c>
      <c r="AP15" s="39" t="e">
        <f t="shared" si="4"/>
        <v>#REF!</v>
      </c>
      <c r="AQ15" s="39" t="e">
        <f t="shared" si="4"/>
        <v>#REF!</v>
      </c>
      <c r="AR15" s="39" t="e">
        <f t="shared" si="4"/>
        <v>#REF!</v>
      </c>
      <c r="AS15" s="39" t="e">
        <f t="shared" si="4"/>
        <v>#REF!</v>
      </c>
      <c r="AT15" s="39" t="e">
        <f t="shared" si="4"/>
        <v>#REF!</v>
      </c>
      <c r="AU15" s="39" t="e">
        <f t="shared" si="4"/>
        <v>#REF!</v>
      </c>
      <c r="AV15" s="39" t="e">
        <f t="shared" si="4"/>
        <v>#REF!</v>
      </c>
      <c r="AW15" s="39" t="e">
        <f t="shared" si="4"/>
        <v>#REF!</v>
      </c>
      <c r="AX15" s="39" t="e">
        <f t="shared" si="4"/>
        <v>#REF!</v>
      </c>
      <c r="AY15" s="39" t="e">
        <f t="shared" si="4"/>
        <v>#REF!</v>
      </c>
      <c r="AZ15" s="39" t="e">
        <f t="shared" si="4"/>
        <v>#REF!</v>
      </c>
      <c r="BA15" s="39" t="e">
        <f t="shared" si="4"/>
        <v>#REF!</v>
      </c>
      <c r="BB15" s="39" t="e">
        <f t="shared" si="4"/>
        <v>#REF!</v>
      </c>
      <c r="BC15" s="39" t="e">
        <f t="shared" si="4"/>
        <v>#REF!</v>
      </c>
      <c r="BD15" s="39" t="e">
        <f t="shared" si="4"/>
        <v>#REF!</v>
      </c>
      <c r="BE15" s="39" t="e">
        <f t="shared" si="4"/>
        <v>#REF!</v>
      </c>
      <c r="BF15" s="39" t="e">
        <f t="shared" si="4"/>
        <v>#REF!</v>
      </c>
      <c r="BG15" s="39" t="e">
        <f t="shared" si="4"/>
        <v>#REF!</v>
      </c>
      <c r="BH15" s="39" t="e">
        <f t="shared" si="4"/>
        <v>#REF!</v>
      </c>
      <c r="BI15" s="39" t="e">
        <f t="shared" si="4"/>
        <v>#REF!</v>
      </c>
      <c r="BJ15" s="39" t="e">
        <f t="shared" si="4"/>
        <v>#REF!</v>
      </c>
      <c r="BK15" s="39" t="e">
        <f t="shared" si="4"/>
        <v>#REF!</v>
      </c>
      <c r="BL15" s="39" t="e">
        <f t="shared" si="4"/>
        <v>#REF!</v>
      </c>
      <c r="BM15" s="39" t="e">
        <f t="shared" si="4"/>
        <v>#REF!</v>
      </c>
      <c r="BN15" s="39" t="e">
        <f t="shared" si="4"/>
        <v>#REF!</v>
      </c>
      <c r="BO15" s="39" t="e">
        <f t="shared" si="4"/>
        <v>#REF!</v>
      </c>
      <c r="BP15" s="39" t="e">
        <f t="shared" si="4"/>
        <v>#REF!</v>
      </c>
      <c r="BQ15" s="39" t="e">
        <f t="shared" si="4"/>
        <v>#REF!</v>
      </c>
      <c r="BR15" s="39" t="e">
        <f t="shared" si="4"/>
        <v>#REF!</v>
      </c>
      <c r="BS15" s="39" t="e">
        <f t="shared" si="4"/>
        <v>#REF!</v>
      </c>
      <c r="BT15" s="39" t="e">
        <f t="shared" si="4"/>
        <v>#REF!</v>
      </c>
      <c r="BU15" s="39" t="e">
        <f t="shared" si="4"/>
        <v>#REF!</v>
      </c>
      <c r="BV15" s="39" t="e">
        <f t="shared" si="4"/>
        <v>#REF!</v>
      </c>
      <c r="BW15" s="39" t="e">
        <f t="shared" si="4"/>
        <v>#REF!</v>
      </c>
      <c r="BX15" s="39" t="e">
        <f t="shared" si="4"/>
        <v>#REF!</v>
      </c>
      <c r="BY15" s="39" t="e">
        <f t="shared" si="4"/>
        <v>#REF!</v>
      </c>
      <c r="BZ15" s="39" t="e">
        <f t="shared" si="4"/>
        <v>#REF!</v>
      </c>
      <c r="CA15" s="39" t="e">
        <f t="shared" si="4"/>
        <v>#REF!</v>
      </c>
      <c r="CB15" s="39" t="e">
        <f t="shared" si="4"/>
        <v>#REF!</v>
      </c>
      <c r="CC15" s="39" t="e">
        <f t="shared" si="4"/>
        <v>#REF!</v>
      </c>
      <c r="CD15" s="39" t="e">
        <f t="shared" si="4"/>
        <v>#REF!</v>
      </c>
      <c r="CE15" s="39" t="e">
        <f t="shared" si="4"/>
        <v>#REF!</v>
      </c>
      <c r="CF15" s="39" t="e">
        <f t="shared" si="4"/>
        <v>#REF!</v>
      </c>
      <c r="CG15" s="39" t="e">
        <f t="shared" si="4"/>
        <v>#REF!</v>
      </c>
    </row>
    <row r="16" spans="1:87" ht="14.25" customHeight="1" x14ac:dyDescent="0.4">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row>
    <row r="17" spans="1:87" ht="14.25" customHeight="1" x14ac:dyDescent="0.4"/>
    <row r="18" spans="1:87" ht="14.25" customHeight="1" x14ac:dyDescent="0.4">
      <c r="A18" s="24" t="s">
        <v>546</v>
      </c>
    </row>
    <row r="19" spans="1:87" ht="14.25" customHeight="1" x14ac:dyDescent="0.4">
      <c r="A19" s="131" t="s">
        <v>191</v>
      </c>
      <c r="B19" s="70"/>
      <c r="C19" s="142" t="e">
        <f>'Budget First 84 months'!#REF!</f>
        <v>#REF!</v>
      </c>
      <c r="E19" t="s">
        <v>192</v>
      </c>
      <c r="F19" s="411" t="s">
        <v>544</v>
      </c>
    </row>
    <row r="20" spans="1:87" ht="14.25" customHeight="1" x14ac:dyDescent="0.4">
      <c r="A20" s="131" t="s">
        <v>194</v>
      </c>
      <c r="B20" s="70"/>
      <c r="C20" s="143">
        <v>7</v>
      </c>
      <c r="E20" t="s">
        <v>545</v>
      </c>
      <c r="F20">
        <v>84</v>
      </c>
    </row>
    <row r="21" spans="1:87" ht="14.25" customHeight="1" x14ac:dyDescent="0.4">
      <c r="A21" t="s">
        <v>241</v>
      </c>
      <c r="C21" s="144">
        <v>5.5E-2</v>
      </c>
      <c r="E21" t="s">
        <v>197</v>
      </c>
      <c r="F21" s="145">
        <f>C21/12</f>
        <v>4.5833333333333334E-3</v>
      </c>
    </row>
    <row r="22" spans="1:87" ht="14.25" customHeight="1" x14ac:dyDescent="0.4">
      <c r="A22" t="s">
        <v>198</v>
      </c>
      <c r="C22" s="146" t="s">
        <v>231</v>
      </c>
      <c r="E22" t="s">
        <v>200</v>
      </c>
      <c r="F22" s="147" t="e">
        <f>PMT(F21,F20,-C19,0)</f>
        <v>#REF!</v>
      </c>
    </row>
    <row r="24" spans="1:87" ht="14.25" customHeight="1" x14ac:dyDescent="0.4">
      <c r="A24" s="149" t="s">
        <v>56</v>
      </c>
      <c r="B24" s="149">
        <v>15</v>
      </c>
      <c r="C24" s="149">
        <v>16</v>
      </c>
      <c r="D24" s="149">
        <v>17</v>
      </c>
      <c r="E24" s="149">
        <v>18</v>
      </c>
      <c r="F24" s="149">
        <v>19</v>
      </c>
      <c r="G24" s="149">
        <v>20</v>
      </c>
      <c r="H24" s="149">
        <v>21</v>
      </c>
      <c r="I24" s="149">
        <v>22</v>
      </c>
      <c r="J24" s="149">
        <v>23</v>
      </c>
      <c r="K24" s="149">
        <v>24</v>
      </c>
      <c r="L24" s="149">
        <v>25</v>
      </c>
      <c r="M24" s="149">
        <v>26</v>
      </c>
      <c r="N24" s="149">
        <v>27</v>
      </c>
      <c r="O24" s="149">
        <v>28</v>
      </c>
      <c r="P24" s="149">
        <v>29</v>
      </c>
      <c r="Q24" s="149">
        <v>30</v>
      </c>
      <c r="R24" s="149">
        <v>31</v>
      </c>
      <c r="S24" s="149">
        <v>32</v>
      </c>
      <c r="T24" s="149">
        <v>33</v>
      </c>
      <c r="U24" s="149">
        <v>34</v>
      </c>
      <c r="V24" s="149">
        <v>35</v>
      </c>
      <c r="W24" s="149">
        <v>36</v>
      </c>
      <c r="X24" s="149">
        <v>37</v>
      </c>
      <c r="Y24" s="149">
        <v>38</v>
      </c>
      <c r="Z24" s="149">
        <v>39</v>
      </c>
      <c r="AA24" s="149">
        <v>40</v>
      </c>
      <c r="AB24" s="149">
        <v>41</v>
      </c>
      <c r="AC24" s="149">
        <v>42</v>
      </c>
      <c r="AD24" s="149">
        <v>43</v>
      </c>
      <c r="AE24" s="149">
        <v>44</v>
      </c>
      <c r="AF24" s="149">
        <v>45</v>
      </c>
      <c r="AG24" s="149">
        <v>46</v>
      </c>
      <c r="AH24" s="149">
        <v>47</v>
      </c>
      <c r="AI24" s="149">
        <v>48</v>
      </c>
      <c r="AJ24" s="149">
        <v>49</v>
      </c>
      <c r="AK24" s="149">
        <v>50</v>
      </c>
      <c r="AL24" s="149">
        <v>51</v>
      </c>
      <c r="AM24" s="149">
        <v>52</v>
      </c>
      <c r="AN24" s="149">
        <v>53</v>
      </c>
      <c r="AO24" s="149">
        <v>54</v>
      </c>
      <c r="AP24" s="149">
        <v>55</v>
      </c>
      <c r="AQ24" s="149">
        <v>56</v>
      </c>
      <c r="AR24" s="149">
        <v>57</v>
      </c>
      <c r="AS24" s="149">
        <v>58</v>
      </c>
      <c r="AT24" s="149">
        <v>59</v>
      </c>
      <c r="AU24" s="149">
        <v>60</v>
      </c>
      <c r="AV24" s="149">
        <v>61</v>
      </c>
      <c r="AW24" s="149">
        <v>62</v>
      </c>
      <c r="AX24" s="149">
        <v>63</v>
      </c>
      <c r="AY24" s="149">
        <v>64</v>
      </c>
      <c r="AZ24" s="149">
        <v>65</v>
      </c>
      <c r="BA24" s="149">
        <v>66</v>
      </c>
      <c r="BB24" s="149">
        <v>67</v>
      </c>
      <c r="BC24" s="149">
        <v>68</v>
      </c>
      <c r="BD24" s="149">
        <v>69</v>
      </c>
      <c r="BE24" s="149">
        <v>70</v>
      </c>
      <c r="BF24" s="149">
        <v>71</v>
      </c>
      <c r="BG24" s="149">
        <v>72</v>
      </c>
      <c r="BH24" s="149">
        <v>73</v>
      </c>
      <c r="BI24" s="149">
        <v>74</v>
      </c>
      <c r="BJ24" s="149">
        <v>75</v>
      </c>
      <c r="BK24" s="149">
        <v>76</v>
      </c>
      <c r="BL24" s="149">
        <v>77</v>
      </c>
      <c r="BM24" s="149">
        <v>78</v>
      </c>
      <c r="BN24" s="149">
        <v>79</v>
      </c>
      <c r="BO24" s="149">
        <v>80</v>
      </c>
      <c r="BP24" s="149">
        <v>81</v>
      </c>
      <c r="BQ24" s="149">
        <v>82</v>
      </c>
      <c r="BR24" s="149">
        <v>83</v>
      </c>
      <c r="BS24" s="149">
        <v>84</v>
      </c>
      <c r="BT24" s="149">
        <v>85</v>
      </c>
      <c r="BU24" s="149">
        <v>86</v>
      </c>
      <c r="BV24" s="149">
        <v>87</v>
      </c>
      <c r="BW24" s="149">
        <v>88</v>
      </c>
      <c r="BX24" s="149">
        <v>89</v>
      </c>
      <c r="BY24" s="149">
        <v>90</v>
      </c>
      <c r="BZ24" s="149">
        <v>91</v>
      </c>
      <c r="CA24" s="149">
        <v>92</v>
      </c>
      <c r="CB24" s="149">
        <v>93</v>
      </c>
      <c r="CC24" s="149">
        <v>94</v>
      </c>
      <c r="CD24" s="149">
        <v>95</v>
      </c>
      <c r="CE24" s="149">
        <v>96</v>
      </c>
      <c r="CF24" s="149">
        <v>97</v>
      </c>
      <c r="CG24" s="149">
        <v>98</v>
      </c>
      <c r="CH24" s="71"/>
      <c r="CI24" s="71"/>
    </row>
    <row r="25" spans="1:87" ht="16.5" customHeight="1" x14ac:dyDescent="0.4">
      <c r="A25" s="24" t="s">
        <v>202</v>
      </c>
      <c r="B25" s="39" t="e">
        <f>C19</f>
        <v>#REF!</v>
      </c>
      <c r="C25" s="39" t="e">
        <f t="shared" ref="C25:CG25" si="5">B29</f>
        <v>#REF!</v>
      </c>
      <c r="D25" s="39" t="e">
        <f t="shared" si="5"/>
        <v>#REF!</v>
      </c>
      <c r="E25" s="39" t="e">
        <f t="shared" si="5"/>
        <v>#REF!</v>
      </c>
      <c r="F25" s="39" t="e">
        <f t="shared" si="5"/>
        <v>#REF!</v>
      </c>
      <c r="G25" s="39" t="e">
        <f t="shared" si="5"/>
        <v>#REF!</v>
      </c>
      <c r="H25" s="39" t="e">
        <f t="shared" si="5"/>
        <v>#REF!</v>
      </c>
      <c r="I25" s="39" t="e">
        <f t="shared" si="5"/>
        <v>#REF!</v>
      </c>
      <c r="J25" s="39" t="e">
        <f t="shared" si="5"/>
        <v>#REF!</v>
      </c>
      <c r="K25" s="39" t="e">
        <f t="shared" si="5"/>
        <v>#REF!</v>
      </c>
      <c r="L25" s="39" t="e">
        <f t="shared" si="5"/>
        <v>#REF!</v>
      </c>
      <c r="M25" s="39" t="e">
        <f t="shared" si="5"/>
        <v>#REF!</v>
      </c>
      <c r="N25" s="39" t="e">
        <f t="shared" si="5"/>
        <v>#REF!</v>
      </c>
      <c r="O25" s="39" t="e">
        <f t="shared" si="5"/>
        <v>#REF!</v>
      </c>
      <c r="P25" s="39" t="e">
        <f t="shared" si="5"/>
        <v>#REF!</v>
      </c>
      <c r="Q25" s="39" t="e">
        <f t="shared" si="5"/>
        <v>#REF!</v>
      </c>
      <c r="R25" s="39" t="e">
        <f t="shared" si="5"/>
        <v>#REF!</v>
      </c>
      <c r="S25" s="39" t="e">
        <f t="shared" si="5"/>
        <v>#REF!</v>
      </c>
      <c r="T25" s="39" t="e">
        <f t="shared" si="5"/>
        <v>#REF!</v>
      </c>
      <c r="U25" s="39" t="e">
        <f t="shared" si="5"/>
        <v>#REF!</v>
      </c>
      <c r="V25" s="39" t="e">
        <f t="shared" si="5"/>
        <v>#REF!</v>
      </c>
      <c r="W25" s="39" t="e">
        <f t="shared" si="5"/>
        <v>#REF!</v>
      </c>
      <c r="X25" s="39" t="e">
        <f t="shared" si="5"/>
        <v>#REF!</v>
      </c>
      <c r="Y25" s="39" t="e">
        <f t="shared" si="5"/>
        <v>#REF!</v>
      </c>
      <c r="Z25" s="39" t="e">
        <f t="shared" si="5"/>
        <v>#REF!</v>
      </c>
      <c r="AA25" s="39" t="e">
        <f t="shared" si="5"/>
        <v>#REF!</v>
      </c>
      <c r="AB25" s="39" t="e">
        <f t="shared" si="5"/>
        <v>#REF!</v>
      </c>
      <c r="AC25" s="39" t="e">
        <f t="shared" si="5"/>
        <v>#REF!</v>
      </c>
      <c r="AD25" s="39" t="e">
        <f t="shared" si="5"/>
        <v>#REF!</v>
      </c>
      <c r="AE25" s="39" t="e">
        <f t="shared" si="5"/>
        <v>#REF!</v>
      </c>
      <c r="AF25" s="39" t="e">
        <f t="shared" si="5"/>
        <v>#REF!</v>
      </c>
      <c r="AG25" s="39" t="e">
        <f t="shared" si="5"/>
        <v>#REF!</v>
      </c>
      <c r="AH25" s="39" t="e">
        <f t="shared" si="5"/>
        <v>#REF!</v>
      </c>
      <c r="AI25" s="39" t="e">
        <f t="shared" si="5"/>
        <v>#REF!</v>
      </c>
      <c r="AJ25" s="39" t="e">
        <f t="shared" si="5"/>
        <v>#REF!</v>
      </c>
      <c r="AK25" s="39" t="e">
        <f t="shared" si="5"/>
        <v>#REF!</v>
      </c>
      <c r="AL25" s="39" t="e">
        <f t="shared" si="5"/>
        <v>#REF!</v>
      </c>
      <c r="AM25" s="39" t="e">
        <f t="shared" si="5"/>
        <v>#REF!</v>
      </c>
      <c r="AN25" s="39" t="e">
        <f t="shared" si="5"/>
        <v>#REF!</v>
      </c>
      <c r="AO25" s="39" t="e">
        <f t="shared" si="5"/>
        <v>#REF!</v>
      </c>
      <c r="AP25" s="39" t="e">
        <f t="shared" si="5"/>
        <v>#REF!</v>
      </c>
      <c r="AQ25" s="39" t="e">
        <f t="shared" si="5"/>
        <v>#REF!</v>
      </c>
      <c r="AR25" s="39" t="e">
        <f t="shared" si="5"/>
        <v>#REF!</v>
      </c>
      <c r="AS25" s="39" t="e">
        <f t="shared" si="5"/>
        <v>#REF!</v>
      </c>
      <c r="AT25" s="39" t="e">
        <f t="shared" si="5"/>
        <v>#REF!</v>
      </c>
      <c r="AU25" s="39" t="e">
        <f t="shared" si="5"/>
        <v>#REF!</v>
      </c>
      <c r="AV25" s="39" t="e">
        <f t="shared" si="5"/>
        <v>#REF!</v>
      </c>
      <c r="AW25" s="39" t="e">
        <f t="shared" si="5"/>
        <v>#REF!</v>
      </c>
      <c r="AX25" s="39" t="e">
        <f t="shared" si="5"/>
        <v>#REF!</v>
      </c>
      <c r="AY25" s="39" t="e">
        <f t="shared" si="5"/>
        <v>#REF!</v>
      </c>
      <c r="AZ25" s="39" t="e">
        <f t="shared" si="5"/>
        <v>#REF!</v>
      </c>
      <c r="BA25" s="39" t="e">
        <f t="shared" si="5"/>
        <v>#REF!</v>
      </c>
      <c r="BB25" s="39" t="e">
        <f t="shared" si="5"/>
        <v>#REF!</v>
      </c>
      <c r="BC25" s="39" t="e">
        <f t="shared" si="5"/>
        <v>#REF!</v>
      </c>
      <c r="BD25" s="39" t="e">
        <f t="shared" si="5"/>
        <v>#REF!</v>
      </c>
      <c r="BE25" s="39" t="e">
        <f t="shared" si="5"/>
        <v>#REF!</v>
      </c>
      <c r="BF25" s="39" t="e">
        <f t="shared" si="5"/>
        <v>#REF!</v>
      </c>
      <c r="BG25" s="39" t="e">
        <f t="shared" si="5"/>
        <v>#REF!</v>
      </c>
      <c r="BH25" s="39" t="e">
        <f t="shared" si="5"/>
        <v>#REF!</v>
      </c>
      <c r="BI25" s="39" t="e">
        <f t="shared" si="5"/>
        <v>#REF!</v>
      </c>
      <c r="BJ25" s="39" t="e">
        <f t="shared" si="5"/>
        <v>#REF!</v>
      </c>
      <c r="BK25" s="39" t="e">
        <f t="shared" si="5"/>
        <v>#REF!</v>
      </c>
      <c r="BL25" s="39" t="e">
        <f t="shared" si="5"/>
        <v>#REF!</v>
      </c>
      <c r="BM25" s="39" t="e">
        <f t="shared" si="5"/>
        <v>#REF!</v>
      </c>
      <c r="BN25" s="39" t="e">
        <f t="shared" si="5"/>
        <v>#REF!</v>
      </c>
      <c r="BO25" s="39" t="e">
        <f t="shared" si="5"/>
        <v>#REF!</v>
      </c>
      <c r="BP25" s="39" t="e">
        <f t="shared" si="5"/>
        <v>#REF!</v>
      </c>
      <c r="BQ25" s="39" t="e">
        <f t="shared" si="5"/>
        <v>#REF!</v>
      </c>
      <c r="BR25" s="39" t="e">
        <f t="shared" si="5"/>
        <v>#REF!</v>
      </c>
      <c r="BS25" s="39" t="e">
        <f t="shared" si="5"/>
        <v>#REF!</v>
      </c>
      <c r="BT25" s="39" t="e">
        <f t="shared" si="5"/>
        <v>#REF!</v>
      </c>
      <c r="BU25" s="39" t="e">
        <f t="shared" si="5"/>
        <v>#REF!</v>
      </c>
      <c r="BV25" s="39" t="e">
        <f t="shared" si="5"/>
        <v>#REF!</v>
      </c>
      <c r="BW25" s="39" t="e">
        <f t="shared" si="5"/>
        <v>#REF!</v>
      </c>
      <c r="BX25" s="39" t="e">
        <f t="shared" si="5"/>
        <v>#REF!</v>
      </c>
      <c r="BY25" s="39" t="e">
        <f t="shared" si="5"/>
        <v>#REF!</v>
      </c>
      <c r="BZ25" s="39" t="e">
        <f t="shared" si="5"/>
        <v>#REF!</v>
      </c>
      <c r="CA25" s="39" t="e">
        <f t="shared" si="5"/>
        <v>#REF!</v>
      </c>
      <c r="CB25" s="39" t="e">
        <f t="shared" si="5"/>
        <v>#REF!</v>
      </c>
      <c r="CC25" s="39" t="e">
        <f t="shared" si="5"/>
        <v>#REF!</v>
      </c>
      <c r="CD25" s="39" t="e">
        <f t="shared" si="5"/>
        <v>#REF!</v>
      </c>
      <c r="CE25" s="39" t="e">
        <f t="shared" si="5"/>
        <v>#REF!</v>
      </c>
      <c r="CF25" s="39" t="e">
        <f t="shared" si="5"/>
        <v>#REF!</v>
      </c>
      <c r="CG25" s="39" t="e">
        <f t="shared" si="5"/>
        <v>#REF!</v>
      </c>
    </row>
    <row r="26" spans="1:87" ht="14.25" customHeight="1" x14ac:dyDescent="0.4">
      <c r="A26" s="24" t="s">
        <v>203</v>
      </c>
      <c r="B26" s="39" t="e">
        <f t="shared" ref="B26:CG26" si="6">$F$22</f>
        <v>#REF!</v>
      </c>
      <c r="C26" s="39" t="e">
        <f t="shared" si="6"/>
        <v>#REF!</v>
      </c>
      <c r="D26" s="39" t="e">
        <f t="shared" si="6"/>
        <v>#REF!</v>
      </c>
      <c r="E26" s="39" t="e">
        <f t="shared" si="6"/>
        <v>#REF!</v>
      </c>
      <c r="F26" s="39" t="e">
        <f t="shared" si="6"/>
        <v>#REF!</v>
      </c>
      <c r="G26" s="39" t="e">
        <f t="shared" si="6"/>
        <v>#REF!</v>
      </c>
      <c r="H26" s="39" t="e">
        <f t="shared" si="6"/>
        <v>#REF!</v>
      </c>
      <c r="I26" s="39" t="e">
        <f t="shared" si="6"/>
        <v>#REF!</v>
      </c>
      <c r="J26" s="39" t="e">
        <f t="shared" si="6"/>
        <v>#REF!</v>
      </c>
      <c r="K26" s="39" t="e">
        <f t="shared" si="6"/>
        <v>#REF!</v>
      </c>
      <c r="L26" s="39" t="e">
        <f t="shared" si="6"/>
        <v>#REF!</v>
      </c>
      <c r="M26" s="39" t="e">
        <f t="shared" si="6"/>
        <v>#REF!</v>
      </c>
      <c r="N26" s="39" t="e">
        <f t="shared" si="6"/>
        <v>#REF!</v>
      </c>
      <c r="O26" s="39" t="e">
        <f t="shared" si="6"/>
        <v>#REF!</v>
      </c>
      <c r="P26" s="39" t="e">
        <f t="shared" si="6"/>
        <v>#REF!</v>
      </c>
      <c r="Q26" s="39" t="e">
        <f t="shared" si="6"/>
        <v>#REF!</v>
      </c>
      <c r="R26" s="39" t="e">
        <f t="shared" si="6"/>
        <v>#REF!</v>
      </c>
      <c r="S26" s="39" t="e">
        <f t="shared" si="6"/>
        <v>#REF!</v>
      </c>
      <c r="T26" s="39" t="e">
        <f t="shared" si="6"/>
        <v>#REF!</v>
      </c>
      <c r="U26" s="39" t="e">
        <f t="shared" si="6"/>
        <v>#REF!</v>
      </c>
      <c r="V26" s="39" t="e">
        <f t="shared" si="6"/>
        <v>#REF!</v>
      </c>
      <c r="W26" s="39" t="e">
        <f t="shared" si="6"/>
        <v>#REF!</v>
      </c>
      <c r="X26" s="39" t="e">
        <f t="shared" si="6"/>
        <v>#REF!</v>
      </c>
      <c r="Y26" s="39" t="e">
        <f t="shared" si="6"/>
        <v>#REF!</v>
      </c>
      <c r="Z26" s="39" t="e">
        <f t="shared" si="6"/>
        <v>#REF!</v>
      </c>
      <c r="AA26" s="39" t="e">
        <f t="shared" si="6"/>
        <v>#REF!</v>
      </c>
      <c r="AB26" s="39" t="e">
        <f t="shared" si="6"/>
        <v>#REF!</v>
      </c>
      <c r="AC26" s="39" t="e">
        <f t="shared" si="6"/>
        <v>#REF!</v>
      </c>
      <c r="AD26" s="39" t="e">
        <f t="shared" si="6"/>
        <v>#REF!</v>
      </c>
      <c r="AE26" s="39" t="e">
        <f t="shared" si="6"/>
        <v>#REF!</v>
      </c>
      <c r="AF26" s="39" t="e">
        <f t="shared" si="6"/>
        <v>#REF!</v>
      </c>
      <c r="AG26" s="39" t="e">
        <f t="shared" si="6"/>
        <v>#REF!</v>
      </c>
      <c r="AH26" s="39" t="e">
        <f t="shared" si="6"/>
        <v>#REF!</v>
      </c>
      <c r="AI26" s="39" t="e">
        <f t="shared" si="6"/>
        <v>#REF!</v>
      </c>
      <c r="AJ26" s="39" t="e">
        <f t="shared" si="6"/>
        <v>#REF!</v>
      </c>
      <c r="AK26" s="39" t="e">
        <f t="shared" si="6"/>
        <v>#REF!</v>
      </c>
      <c r="AL26" s="39" t="e">
        <f t="shared" si="6"/>
        <v>#REF!</v>
      </c>
      <c r="AM26" s="39" t="e">
        <f t="shared" si="6"/>
        <v>#REF!</v>
      </c>
      <c r="AN26" s="39" t="e">
        <f t="shared" si="6"/>
        <v>#REF!</v>
      </c>
      <c r="AO26" s="39" t="e">
        <f t="shared" si="6"/>
        <v>#REF!</v>
      </c>
      <c r="AP26" s="39" t="e">
        <f t="shared" si="6"/>
        <v>#REF!</v>
      </c>
      <c r="AQ26" s="39" t="e">
        <f t="shared" si="6"/>
        <v>#REF!</v>
      </c>
      <c r="AR26" s="39" t="e">
        <f t="shared" si="6"/>
        <v>#REF!</v>
      </c>
      <c r="AS26" s="39" t="e">
        <f t="shared" si="6"/>
        <v>#REF!</v>
      </c>
      <c r="AT26" s="39" t="e">
        <f t="shared" si="6"/>
        <v>#REF!</v>
      </c>
      <c r="AU26" s="39" t="e">
        <f t="shared" si="6"/>
        <v>#REF!</v>
      </c>
      <c r="AV26" s="39" t="e">
        <f t="shared" si="6"/>
        <v>#REF!</v>
      </c>
      <c r="AW26" s="39" t="e">
        <f t="shared" si="6"/>
        <v>#REF!</v>
      </c>
      <c r="AX26" s="39" t="e">
        <f t="shared" si="6"/>
        <v>#REF!</v>
      </c>
      <c r="AY26" s="39" t="e">
        <f t="shared" si="6"/>
        <v>#REF!</v>
      </c>
      <c r="AZ26" s="39" t="e">
        <f t="shared" si="6"/>
        <v>#REF!</v>
      </c>
      <c r="BA26" s="39" t="e">
        <f t="shared" si="6"/>
        <v>#REF!</v>
      </c>
      <c r="BB26" s="39" t="e">
        <f t="shared" si="6"/>
        <v>#REF!</v>
      </c>
      <c r="BC26" s="39" t="e">
        <f t="shared" si="6"/>
        <v>#REF!</v>
      </c>
      <c r="BD26" s="39" t="e">
        <f t="shared" si="6"/>
        <v>#REF!</v>
      </c>
      <c r="BE26" s="39" t="e">
        <f t="shared" si="6"/>
        <v>#REF!</v>
      </c>
      <c r="BF26" s="39" t="e">
        <f t="shared" si="6"/>
        <v>#REF!</v>
      </c>
      <c r="BG26" s="39" t="e">
        <f t="shared" si="6"/>
        <v>#REF!</v>
      </c>
      <c r="BH26" s="39" t="e">
        <f t="shared" si="6"/>
        <v>#REF!</v>
      </c>
      <c r="BI26" s="39" t="e">
        <f t="shared" si="6"/>
        <v>#REF!</v>
      </c>
      <c r="BJ26" s="39" t="e">
        <f t="shared" si="6"/>
        <v>#REF!</v>
      </c>
      <c r="BK26" s="39" t="e">
        <f t="shared" si="6"/>
        <v>#REF!</v>
      </c>
      <c r="BL26" s="39" t="e">
        <f t="shared" si="6"/>
        <v>#REF!</v>
      </c>
      <c r="BM26" s="39" t="e">
        <f t="shared" si="6"/>
        <v>#REF!</v>
      </c>
      <c r="BN26" s="39" t="e">
        <f t="shared" si="6"/>
        <v>#REF!</v>
      </c>
      <c r="BO26" s="39" t="e">
        <f t="shared" si="6"/>
        <v>#REF!</v>
      </c>
      <c r="BP26" s="39" t="e">
        <f t="shared" si="6"/>
        <v>#REF!</v>
      </c>
      <c r="BQ26" s="39" t="e">
        <f t="shared" si="6"/>
        <v>#REF!</v>
      </c>
      <c r="BR26" s="39" t="e">
        <f t="shared" si="6"/>
        <v>#REF!</v>
      </c>
      <c r="BS26" s="39" t="e">
        <f t="shared" si="6"/>
        <v>#REF!</v>
      </c>
      <c r="BT26" s="39" t="e">
        <f t="shared" si="6"/>
        <v>#REF!</v>
      </c>
      <c r="BU26" s="39" t="e">
        <f t="shared" si="6"/>
        <v>#REF!</v>
      </c>
      <c r="BV26" s="39" t="e">
        <f t="shared" si="6"/>
        <v>#REF!</v>
      </c>
      <c r="BW26" s="39" t="e">
        <f t="shared" si="6"/>
        <v>#REF!</v>
      </c>
      <c r="BX26" s="39" t="e">
        <f t="shared" si="6"/>
        <v>#REF!</v>
      </c>
      <c r="BY26" s="39" t="e">
        <f t="shared" si="6"/>
        <v>#REF!</v>
      </c>
      <c r="BZ26" s="39" t="e">
        <f t="shared" si="6"/>
        <v>#REF!</v>
      </c>
      <c r="CA26" s="39" t="e">
        <f t="shared" si="6"/>
        <v>#REF!</v>
      </c>
      <c r="CB26" s="39" t="e">
        <f t="shared" si="6"/>
        <v>#REF!</v>
      </c>
      <c r="CC26" s="39" t="e">
        <f t="shared" si="6"/>
        <v>#REF!</v>
      </c>
      <c r="CD26" s="39" t="e">
        <f t="shared" si="6"/>
        <v>#REF!</v>
      </c>
      <c r="CE26" s="39" t="e">
        <f t="shared" si="6"/>
        <v>#REF!</v>
      </c>
      <c r="CF26" s="39" t="e">
        <f t="shared" si="6"/>
        <v>#REF!</v>
      </c>
      <c r="CG26" s="39" t="e">
        <f t="shared" si="6"/>
        <v>#REF!</v>
      </c>
    </row>
    <row r="27" spans="1:87" ht="14.25" customHeight="1" x14ac:dyDescent="0.4">
      <c r="A27" s="24" t="s">
        <v>204</v>
      </c>
      <c r="B27" s="39" t="e">
        <f t="shared" ref="B27:CG27" si="7">-B25*$F$21</f>
        <v>#REF!</v>
      </c>
      <c r="C27" s="39" t="e">
        <f t="shared" si="7"/>
        <v>#REF!</v>
      </c>
      <c r="D27" s="39" t="e">
        <f t="shared" si="7"/>
        <v>#REF!</v>
      </c>
      <c r="E27" s="39" t="e">
        <f t="shared" si="7"/>
        <v>#REF!</v>
      </c>
      <c r="F27" s="39" t="e">
        <f t="shared" si="7"/>
        <v>#REF!</v>
      </c>
      <c r="G27" s="39" t="e">
        <f t="shared" si="7"/>
        <v>#REF!</v>
      </c>
      <c r="H27" s="39" t="e">
        <f t="shared" si="7"/>
        <v>#REF!</v>
      </c>
      <c r="I27" s="39" t="e">
        <f t="shared" si="7"/>
        <v>#REF!</v>
      </c>
      <c r="J27" s="39" t="e">
        <f t="shared" si="7"/>
        <v>#REF!</v>
      </c>
      <c r="K27" s="39" t="e">
        <f t="shared" si="7"/>
        <v>#REF!</v>
      </c>
      <c r="L27" s="39" t="e">
        <f t="shared" si="7"/>
        <v>#REF!</v>
      </c>
      <c r="M27" s="39" t="e">
        <f t="shared" si="7"/>
        <v>#REF!</v>
      </c>
      <c r="N27" s="39" t="e">
        <f t="shared" si="7"/>
        <v>#REF!</v>
      </c>
      <c r="O27" s="39" t="e">
        <f t="shared" si="7"/>
        <v>#REF!</v>
      </c>
      <c r="P27" s="39" t="e">
        <f t="shared" si="7"/>
        <v>#REF!</v>
      </c>
      <c r="Q27" s="39" t="e">
        <f t="shared" si="7"/>
        <v>#REF!</v>
      </c>
      <c r="R27" s="39" t="e">
        <f t="shared" si="7"/>
        <v>#REF!</v>
      </c>
      <c r="S27" s="39" t="e">
        <f t="shared" si="7"/>
        <v>#REF!</v>
      </c>
      <c r="T27" s="39" t="e">
        <f t="shared" si="7"/>
        <v>#REF!</v>
      </c>
      <c r="U27" s="39" t="e">
        <f t="shared" si="7"/>
        <v>#REF!</v>
      </c>
      <c r="V27" s="39" t="e">
        <f t="shared" si="7"/>
        <v>#REF!</v>
      </c>
      <c r="W27" s="39" t="e">
        <f t="shared" si="7"/>
        <v>#REF!</v>
      </c>
      <c r="X27" s="39" t="e">
        <f t="shared" si="7"/>
        <v>#REF!</v>
      </c>
      <c r="Y27" s="39" t="e">
        <f t="shared" si="7"/>
        <v>#REF!</v>
      </c>
      <c r="Z27" s="39" t="e">
        <f t="shared" si="7"/>
        <v>#REF!</v>
      </c>
      <c r="AA27" s="39" t="e">
        <f t="shared" si="7"/>
        <v>#REF!</v>
      </c>
      <c r="AB27" s="39" t="e">
        <f t="shared" si="7"/>
        <v>#REF!</v>
      </c>
      <c r="AC27" s="39" t="e">
        <f t="shared" si="7"/>
        <v>#REF!</v>
      </c>
      <c r="AD27" s="39" t="e">
        <f t="shared" si="7"/>
        <v>#REF!</v>
      </c>
      <c r="AE27" s="39" t="e">
        <f t="shared" si="7"/>
        <v>#REF!</v>
      </c>
      <c r="AF27" s="39" t="e">
        <f t="shared" si="7"/>
        <v>#REF!</v>
      </c>
      <c r="AG27" s="39" t="e">
        <f t="shared" si="7"/>
        <v>#REF!</v>
      </c>
      <c r="AH27" s="39" t="e">
        <f t="shared" si="7"/>
        <v>#REF!</v>
      </c>
      <c r="AI27" s="39" t="e">
        <f t="shared" si="7"/>
        <v>#REF!</v>
      </c>
      <c r="AJ27" s="39" t="e">
        <f t="shared" si="7"/>
        <v>#REF!</v>
      </c>
      <c r="AK27" s="39" t="e">
        <f t="shared" si="7"/>
        <v>#REF!</v>
      </c>
      <c r="AL27" s="39" t="e">
        <f t="shared" si="7"/>
        <v>#REF!</v>
      </c>
      <c r="AM27" s="39" t="e">
        <f t="shared" si="7"/>
        <v>#REF!</v>
      </c>
      <c r="AN27" s="39" t="e">
        <f t="shared" si="7"/>
        <v>#REF!</v>
      </c>
      <c r="AO27" s="39" t="e">
        <f t="shared" si="7"/>
        <v>#REF!</v>
      </c>
      <c r="AP27" s="39" t="e">
        <f t="shared" si="7"/>
        <v>#REF!</v>
      </c>
      <c r="AQ27" s="39" t="e">
        <f t="shared" si="7"/>
        <v>#REF!</v>
      </c>
      <c r="AR27" s="39" t="e">
        <f t="shared" si="7"/>
        <v>#REF!</v>
      </c>
      <c r="AS27" s="39" t="e">
        <f t="shared" si="7"/>
        <v>#REF!</v>
      </c>
      <c r="AT27" s="39" t="e">
        <f t="shared" si="7"/>
        <v>#REF!</v>
      </c>
      <c r="AU27" s="39" t="e">
        <f t="shared" si="7"/>
        <v>#REF!</v>
      </c>
      <c r="AV27" s="39" t="e">
        <f t="shared" si="7"/>
        <v>#REF!</v>
      </c>
      <c r="AW27" s="39" t="e">
        <f t="shared" si="7"/>
        <v>#REF!</v>
      </c>
      <c r="AX27" s="39" t="e">
        <f t="shared" si="7"/>
        <v>#REF!</v>
      </c>
      <c r="AY27" s="39" t="e">
        <f t="shared" si="7"/>
        <v>#REF!</v>
      </c>
      <c r="AZ27" s="39" t="e">
        <f t="shared" si="7"/>
        <v>#REF!</v>
      </c>
      <c r="BA27" s="39" t="e">
        <f t="shared" si="7"/>
        <v>#REF!</v>
      </c>
      <c r="BB27" s="39" t="e">
        <f t="shared" si="7"/>
        <v>#REF!</v>
      </c>
      <c r="BC27" s="39" t="e">
        <f t="shared" si="7"/>
        <v>#REF!</v>
      </c>
      <c r="BD27" s="39" t="e">
        <f t="shared" si="7"/>
        <v>#REF!</v>
      </c>
      <c r="BE27" s="39" t="e">
        <f t="shared" si="7"/>
        <v>#REF!</v>
      </c>
      <c r="BF27" s="39" t="e">
        <f t="shared" si="7"/>
        <v>#REF!</v>
      </c>
      <c r="BG27" s="39" t="e">
        <f t="shared" si="7"/>
        <v>#REF!</v>
      </c>
      <c r="BH27" s="39" t="e">
        <f t="shared" si="7"/>
        <v>#REF!</v>
      </c>
      <c r="BI27" s="39" t="e">
        <f t="shared" si="7"/>
        <v>#REF!</v>
      </c>
      <c r="BJ27" s="39" t="e">
        <f t="shared" si="7"/>
        <v>#REF!</v>
      </c>
      <c r="BK27" s="39" t="e">
        <f t="shared" si="7"/>
        <v>#REF!</v>
      </c>
      <c r="BL27" s="39" t="e">
        <f t="shared" si="7"/>
        <v>#REF!</v>
      </c>
      <c r="BM27" s="39" t="e">
        <f t="shared" si="7"/>
        <v>#REF!</v>
      </c>
      <c r="BN27" s="39" t="e">
        <f t="shared" si="7"/>
        <v>#REF!</v>
      </c>
      <c r="BO27" s="39" t="e">
        <f t="shared" si="7"/>
        <v>#REF!</v>
      </c>
      <c r="BP27" s="39" t="e">
        <f t="shared" si="7"/>
        <v>#REF!</v>
      </c>
      <c r="BQ27" s="39" t="e">
        <f t="shared" si="7"/>
        <v>#REF!</v>
      </c>
      <c r="BR27" s="39" t="e">
        <f t="shared" si="7"/>
        <v>#REF!</v>
      </c>
      <c r="BS27" s="39" t="e">
        <f t="shared" si="7"/>
        <v>#REF!</v>
      </c>
      <c r="BT27" s="39" t="e">
        <f t="shared" si="7"/>
        <v>#REF!</v>
      </c>
      <c r="BU27" s="39" t="e">
        <f t="shared" si="7"/>
        <v>#REF!</v>
      </c>
      <c r="BV27" s="39" t="e">
        <f t="shared" si="7"/>
        <v>#REF!</v>
      </c>
      <c r="BW27" s="39" t="e">
        <f t="shared" si="7"/>
        <v>#REF!</v>
      </c>
      <c r="BX27" s="39" t="e">
        <f t="shared" si="7"/>
        <v>#REF!</v>
      </c>
      <c r="BY27" s="39" t="e">
        <f t="shared" si="7"/>
        <v>#REF!</v>
      </c>
      <c r="BZ27" s="39" t="e">
        <f t="shared" si="7"/>
        <v>#REF!</v>
      </c>
      <c r="CA27" s="39" t="e">
        <f t="shared" si="7"/>
        <v>#REF!</v>
      </c>
      <c r="CB27" s="39" t="e">
        <f t="shared" si="7"/>
        <v>#REF!</v>
      </c>
      <c r="CC27" s="39" t="e">
        <f t="shared" si="7"/>
        <v>#REF!</v>
      </c>
      <c r="CD27" s="39" t="e">
        <f t="shared" si="7"/>
        <v>#REF!</v>
      </c>
      <c r="CE27" s="39" t="e">
        <f t="shared" si="7"/>
        <v>#REF!</v>
      </c>
      <c r="CF27" s="39" t="e">
        <f t="shared" si="7"/>
        <v>#REF!</v>
      </c>
      <c r="CG27" s="39" t="e">
        <f t="shared" si="7"/>
        <v>#REF!</v>
      </c>
    </row>
    <row r="28" spans="1:87" ht="14.25" customHeight="1" x14ac:dyDescent="0.4">
      <c r="A28" s="24" t="s">
        <v>205</v>
      </c>
      <c r="B28" s="39" t="e">
        <f t="shared" ref="B28:CG28" si="8">B26+B27</f>
        <v>#REF!</v>
      </c>
      <c r="C28" s="39" t="e">
        <f t="shared" si="8"/>
        <v>#REF!</v>
      </c>
      <c r="D28" s="39" t="e">
        <f t="shared" si="8"/>
        <v>#REF!</v>
      </c>
      <c r="E28" s="39" t="e">
        <f t="shared" si="8"/>
        <v>#REF!</v>
      </c>
      <c r="F28" s="39" t="e">
        <f t="shared" si="8"/>
        <v>#REF!</v>
      </c>
      <c r="G28" s="39" t="e">
        <f t="shared" si="8"/>
        <v>#REF!</v>
      </c>
      <c r="H28" s="39" t="e">
        <f t="shared" si="8"/>
        <v>#REF!</v>
      </c>
      <c r="I28" s="39" t="e">
        <f t="shared" si="8"/>
        <v>#REF!</v>
      </c>
      <c r="J28" s="39" t="e">
        <f t="shared" si="8"/>
        <v>#REF!</v>
      </c>
      <c r="K28" s="39" t="e">
        <f t="shared" si="8"/>
        <v>#REF!</v>
      </c>
      <c r="L28" s="39" t="e">
        <f t="shared" si="8"/>
        <v>#REF!</v>
      </c>
      <c r="M28" s="39" t="e">
        <f t="shared" si="8"/>
        <v>#REF!</v>
      </c>
      <c r="N28" s="39" t="e">
        <f t="shared" si="8"/>
        <v>#REF!</v>
      </c>
      <c r="O28" s="39" t="e">
        <f t="shared" si="8"/>
        <v>#REF!</v>
      </c>
      <c r="P28" s="39" t="e">
        <f t="shared" si="8"/>
        <v>#REF!</v>
      </c>
      <c r="Q28" s="39" t="e">
        <f t="shared" si="8"/>
        <v>#REF!</v>
      </c>
      <c r="R28" s="39" t="e">
        <f t="shared" si="8"/>
        <v>#REF!</v>
      </c>
      <c r="S28" s="39" t="e">
        <f t="shared" si="8"/>
        <v>#REF!</v>
      </c>
      <c r="T28" s="39" t="e">
        <f t="shared" si="8"/>
        <v>#REF!</v>
      </c>
      <c r="U28" s="39" t="e">
        <f t="shared" si="8"/>
        <v>#REF!</v>
      </c>
      <c r="V28" s="39" t="e">
        <f t="shared" si="8"/>
        <v>#REF!</v>
      </c>
      <c r="W28" s="39" t="e">
        <f t="shared" si="8"/>
        <v>#REF!</v>
      </c>
      <c r="X28" s="39" t="e">
        <f t="shared" si="8"/>
        <v>#REF!</v>
      </c>
      <c r="Y28" s="39" t="e">
        <f t="shared" si="8"/>
        <v>#REF!</v>
      </c>
      <c r="Z28" s="39" t="e">
        <f t="shared" si="8"/>
        <v>#REF!</v>
      </c>
      <c r="AA28" s="39" t="e">
        <f t="shared" si="8"/>
        <v>#REF!</v>
      </c>
      <c r="AB28" s="39" t="e">
        <f t="shared" si="8"/>
        <v>#REF!</v>
      </c>
      <c r="AC28" s="39" t="e">
        <f t="shared" si="8"/>
        <v>#REF!</v>
      </c>
      <c r="AD28" s="39" t="e">
        <f t="shared" si="8"/>
        <v>#REF!</v>
      </c>
      <c r="AE28" s="39" t="e">
        <f t="shared" si="8"/>
        <v>#REF!</v>
      </c>
      <c r="AF28" s="39" t="e">
        <f t="shared" si="8"/>
        <v>#REF!</v>
      </c>
      <c r="AG28" s="39" t="e">
        <f t="shared" si="8"/>
        <v>#REF!</v>
      </c>
      <c r="AH28" s="39" t="e">
        <f t="shared" si="8"/>
        <v>#REF!</v>
      </c>
      <c r="AI28" s="39" t="e">
        <f t="shared" si="8"/>
        <v>#REF!</v>
      </c>
      <c r="AJ28" s="39" t="e">
        <f t="shared" si="8"/>
        <v>#REF!</v>
      </c>
      <c r="AK28" s="39" t="e">
        <f t="shared" si="8"/>
        <v>#REF!</v>
      </c>
      <c r="AL28" s="39" t="e">
        <f t="shared" si="8"/>
        <v>#REF!</v>
      </c>
      <c r="AM28" s="39" t="e">
        <f t="shared" si="8"/>
        <v>#REF!</v>
      </c>
      <c r="AN28" s="39" t="e">
        <f t="shared" si="8"/>
        <v>#REF!</v>
      </c>
      <c r="AO28" s="39" t="e">
        <f t="shared" si="8"/>
        <v>#REF!</v>
      </c>
      <c r="AP28" s="39" t="e">
        <f t="shared" si="8"/>
        <v>#REF!</v>
      </c>
      <c r="AQ28" s="39" t="e">
        <f t="shared" si="8"/>
        <v>#REF!</v>
      </c>
      <c r="AR28" s="39" t="e">
        <f t="shared" si="8"/>
        <v>#REF!</v>
      </c>
      <c r="AS28" s="39" t="e">
        <f t="shared" si="8"/>
        <v>#REF!</v>
      </c>
      <c r="AT28" s="39" t="e">
        <f t="shared" si="8"/>
        <v>#REF!</v>
      </c>
      <c r="AU28" s="39" t="e">
        <f t="shared" si="8"/>
        <v>#REF!</v>
      </c>
      <c r="AV28" s="39" t="e">
        <f t="shared" si="8"/>
        <v>#REF!</v>
      </c>
      <c r="AW28" s="39" t="e">
        <f t="shared" si="8"/>
        <v>#REF!</v>
      </c>
      <c r="AX28" s="39" t="e">
        <f t="shared" si="8"/>
        <v>#REF!</v>
      </c>
      <c r="AY28" s="39" t="e">
        <f t="shared" si="8"/>
        <v>#REF!</v>
      </c>
      <c r="AZ28" s="39" t="e">
        <f t="shared" si="8"/>
        <v>#REF!</v>
      </c>
      <c r="BA28" s="39" t="e">
        <f t="shared" si="8"/>
        <v>#REF!</v>
      </c>
      <c r="BB28" s="39" t="e">
        <f t="shared" si="8"/>
        <v>#REF!</v>
      </c>
      <c r="BC28" s="39" t="e">
        <f t="shared" si="8"/>
        <v>#REF!</v>
      </c>
      <c r="BD28" s="39" t="e">
        <f t="shared" si="8"/>
        <v>#REF!</v>
      </c>
      <c r="BE28" s="39" t="e">
        <f t="shared" si="8"/>
        <v>#REF!</v>
      </c>
      <c r="BF28" s="39" t="e">
        <f t="shared" si="8"/>
        <v>#REF!</v>
      </c>
      <c r="BG28" s="39" t="e">
        <f t="shared" si="8"/>
        <v>#REF!</v>
      </c>
      <c r="BH28" s="39" t="e">
        <f t="shared" si="8"/>
        <v>#REF!</v>
      </c>
      <c r="BI28" s="39" t="e">
        <f t="shared" si="8"/>
        <v>#REF!</v>
      </c>
      <c r="BJ28" s="39" t="e">
        <f t="shared" si="8"/>
        <v>#REF!</v>
      </c>
      <c r="BK28" s="39" t="e">
        <f t="shared" si="8"/>
        <v>#REF!</v>
      </c>
      <c r="BL28" s="39" t="e">
        <f t="shared" si="8"/>
        <v>#REF!</v>
      </c>
      <c r="BM28" s="39" t="e">
        <f t="shared" si="8"/>
        <v>#REF!</v>
      </c>
      <c r="BN28" s="39" t="e">
        <f t="shared" si="8"/>
        <v>#REF!</v>
      </c>
      <c r="BO28" s="39" t="e">
        <f t="shared" si="8"/>
        <v>#REF!</v>
      </c>
      <c r="BP28" s="39" t="e">
        <f t="shared" si="8"/>
        <v>#REF!</v>
      </c>
      <c r="BQ28" s="39" t="e">
        <f t="shared" si="8"/>
        <v>#REF!</v>
      </c>
      <c r="BR28" s="39" t="e">
        <f t="shared" si="8"/>
        <v>#REF!</v>
      </c>
      <c r="BS28" s="39" t="e">
        <f t="shared" si="8"/>
        <v>#REF!</v>
      </c>
      <c r="BT28" s="39" t="e">
        <f t="shared" si="8"/>
        <v>#REF!</v>
      </c>
      <c r="BU28" s="39" t="e">
        <f t="shared" si="8"/>
        <v>#REF!</v>
      </c>
      <c r="BV28" s="39" t="e">
        <f t="shared" si="8"/>
        <v>#REF!</v>
      </c>
      <c r="BW28" s="39" t="e">
        <f t="shared" si="8"/>
        <v>#REF!</v>
      </c>
      <c r="BX28" s="39" t="e">
        <f t="shared" si="8"/>
        <v>#REF!</v>
      </c>
      <c r="BY28" s="39" t="e">
        <f t="shared" si="8"/>
        <v>#REF!</v>
      </c>
      <c r="BZ28" s="39" t="e">
        <f t="shared" si="8"/>
        <v>#REF!</v>
      </c>
      <c r="CA28" s="39" t="e">
        <f t="shared" si="8"/>
        <v>#REF!</v>
      </c>
      <c r="CB28" s="39" t="e">
        <f t="shared" si="8"/>
        <v>#REF!</v>
      </c>
      <c r="CC28" s="39" t="e">
        <f t="shared" si="8"/>
        <v>#REF!</v>
      </c>
      <c r="CD28" s="39" t="e">
        <f t="shared" si="8"/>
        <v>#REF!</v>
      </c>
      <c r="CE28" s="39" t="e">
        <f t="shared" si="8"/>
        <v>#REF!</v>
      </c>
      <c r="CF28" s="39" t="e">
        <f t="shared" si="8"/>
        <v>#REF!</v>
      </c>
      <c r="CG28" s="39" t="e">
        <f t="shared" si="8"/>
        <v>#REF!</v>
      </c>
    </row>
    <row r="29" spans="1:87" ht="14.25" customHeight="1" x14ac:dyDescent="0.4">
      <c r="A29" s="24" t="s">
        <v>206</v>
      </c>
      <c r="B29" s="39" t="e">
        <f t="shared" ref="B29:CG29" si="9">B25-B28</f>
        <v>#REF!</v>
      </c>
      <c r="C29" s="39" t="e">
        <f t="shared" si="9"/>
        <v>#REF!</v>
      </c>
      <c r="D29" s="39" t="e">
        <f t="shared" si="9"/>
        <v>#REF!</v>
      </c>
      <c r="E29" s="39" t="e">
        <f t="shared" si="9"/>
        <v>#REF!</v>
      </c>
      <c r="F29" s="39" t="e">
        <f t="shared" si="9"/>
        <v>#REF!</v>
      </c>
      <c r="G29" s="39" t="e">
        <f t="shared" si="9"/>
        <v>#REF!</v>
      </c>
      <c r="H29" s="39" t="e">
        <f t="shared" si="9"/>
        <v>#REF!</v>
      </c>
      <c r="I29" s="39" t="e">
        <f t="shared" si="9"/>
        <v>#REF!</v>
      </c>
      <c r="J29" s="39" t="e">
        <f t="shared" si="9"/>
        <v>#REF!</v>
      </c>
      <c r="K29" s="39" t="e">
        <f t="shared" si="9"/>
        <v>#REF!</v>
      </c>
      <c r="L29" s="39" t="e">
        <f t="shared" si="9"/>
        <v>#REF!</v>
      </c>
      <c r="M29" s="39" t="e">
        <f t="shared" si="9"/>
        <v>#REF!</v>
      </c>
      <c r="N29" s="39" t="e">
        <f t="shared" si="9"/>
        <v>#REF!</v>
      </c>
      <c r="O29" s="39" t="e">
        <f t="shared" si="9"/>
        <v>#REF!</v>
      </c>
      <c r="P29" s="39" t="e">
        <f t="shared" si="9"/>
        <v>#REF!</v>
      </c>
      <c r="Q29" s="39" t="e">
        <f t="shared" si="9"/>
        <v>#REF!</v>
      </c>
      <c r="R29" s="39" t="e">
        <f t="shared" si="9"/>
        <v>#REF!</v>
      </c>
      <c r="S29" s="39" t="e">
        <f t="shared" si="9"/>
        <v>#REF!</v>
      </c>
      <c r="T29" s="39" t="e">
        <f t="shared" si="9"/>
        <v>#REF!</v>
      </c>
      <c r="U29" s="39" t="e">
        <f t="shared" si="9"/>
        <v>#REF!</v>
      </c>
      <c r="V29" s="39" t="e">
        <f t="shared" si="9"/>
        <v>#REF!</v>
      </c>
      <c r="W29" s="39" t="e">
        <f t="shared" si="9"/>
        <v>#REF!</v>
      </c>
      <c r="X29" s="39" t="e">
        <f t="shared" si="9"/>
        <v>#REF!</v>
      </c>
      <c r="Y29" s="39" t="e">
        <f t="shared" si="9"/>
        <v>#REF!</v>
      </c>
      <c r="Z29" s="39" t="e">
        <f t="shared" si="9"/>
        <v>#REF!</v>
      </c>
      <c r="AA29" s="39" t="e">
        <f t="shared" si="9"/>
        <v>#REF!</v>
      </c>
      <c r="AB29" s="39" t="e">
        <f t="shared" si="9"/>
        <v>#REF!</v>
      </c>
      <c r="AC29" s="39" t="e">
        <f t="shared" si="9"/>
        <v>#REF!</v>
      </c>
      <c r="AD29" s="39" t="e">
        <f t="shared" si="9"/>
        <v>#REF!</v>
      </c>
      <c r="AE29" s="39" t="e">
        <f t="shared" si="9"/>
        <v>#REF!</v>
      </c>
      <c r="AF29" s="39" t="e">
        <f t="shared" si="9"/>
        <v>#REF!</v>
      </c>
      <c r="AG29" s="39" t="e">
        <f t="shared" si="9"/>
        <v>#REF!</v>
      </c>
      <c r="AH29" s="39" t="e">
        <f t="shared" si="9"/>
        <v>#REF!</v>
      </c>
      <c r="AI29" s="39" t="e">
        <f t="shared" si="9"/>
        <v>#REF!</v>
      </c>
      <c r="AJ29" s="39" t="e">
        <f t="shared" si="9"/>
        <v>#REF!</v>
      </c>
      <c r="AK29" s="39" t="e">
        <f t="shared" si="9"/>
        <v>#REF!</v>
      </c>
      <c r="AL29" s="39" t="e">
        <f t="shared" si="9"/>
        <v>#REF!</v>
      </c>
      <c r="AM29" s="39" t="e">
        <f t="shared" si="9"/>
        <v>#REF!</v>
      </c>
      <c r="AN29" s="39" t="e">
        <f t="shared" si="9"/>
        <v>#REF!</v>
      </c>
      <c r="AO29" s="39" t="e">
        <f t="shared" si="9"/>
        <v>#REF!</v>
      </c>
      <c r="AP29" s="39" t="e">
        <f t="shared" si="9"/>
        <v>#REF!</v>
      </c>
      <c r="AQ29" s="39" t="e">
        <f t="shared" si="9"/>
        <v>#REF!</v>
      </c>
      <c r="AR29" s="39" t="e">
        <f t="shared" si="9"/>
        <v>#REF!</v>
      </c>
      <c r="AS29" s="39" t="e">
        <f t="shared" si="9"/>
        <v>#REF!</v>
      </c>
      <c r="AT29" s="39" t="e">
        <f t="shared" si="9"/>
        <v>#REF!</v>
      </c>
      <c r="AU29" s="39" t="e">
        <f t="shared" si="9"/>
        <v>#REF!</v>
      </c>
      <c r="AV29" s="39" t="e">
        <f t="shared" si="9"/>
        <v>#REF!</v>
      </c>
      <c r="AW29" s="39" t="e">
        <f t="shared" si="9"/>
        <v>#REF!</v>
      </c>
      <c r="AX29" s="39" t="e">
        <f t="shared" si="9"/>
        <v>#REF!</v>
      </c>
      <c r="AY29" s="39" t="e">
        <f t="shared" si="9"/>
        <v>#REF!</v>
      </c>
      <c r="AZ29" s="39" t="e">
        <f t="shared" si="9"/>
        <v>#REF!</v>
      </c>
      <c r="BA29" s="39" t="e">
        <f t="shared" si="9"/>
        <v>#REF!</v>
      </c>
      <c r="BB29" s="39" t="e">
        <f t="shared" si="9"/>
        <v>#REF!</v>
      </c>
      <c r="BC29" s="39" t="e">
        <f t="shared" si="9"/>
        <v>#REF!</v>
      </c>
      <c r="BD29" s="39" t="e">
        <f t="shared" si="9"/>
        <v>#REF!</v>
      </c>
      <c r="BE29" s="39" t="e">
        <f t="shared" si="9"/>
        <v>#REF!</v>
      </c>
      <c r="BF29" s="39" t="e">
        <f t="shared" si="9"/>
        <v>#REF!</v>
      </c>
      <c r="BG29" s="39" t="e">
        <f t="shared" si="9"/>
        <v>#REF!</v>
      </c>
      <c r="BH29" s="39" t="e">
        <f t="shared" si="9"/>
        <v>#REF!</v>
      </c>
      <c r="BI29" s="39" t="e">
        <f t="shared" si="9"/>
        <v>#REF!</v>
      </c>
      <c r="BJ29" s="39" t="e">
        <f t="shared" si="9"/>
        <v>#REF!</v>
      </c>
      <c r="BK29" s="39" t="e">
        <f t="shared" si="9"/>
        <v>#REF!</v>
      </c>
      <c r="BL29" s="39" t="e">
        <f t="shared" si="9"/>
        <v>#REF!</v>
      </c>
      <c r="BM29" s="39" t="e">
        <f t="shared" si="9"/>
        <v>#REF!</v>
      </c>
      <c r="BN29" s="39" t="e">
        <f t="shared" si="9"/>
        <v>#REF!</v>
      </c>
      <c r="BO29" s="39" t="e">
        <f t="shared" si="9"/>
        <v>#REF!</v>
      </c>
      <c r="BP29" s="39" t="e">
        <f t="shared" si="9"/>
        <v>#REF!</v>
      </c>
      <c r="BQ29" s="39" t="e">
        <f t="shared" si="9"/>
        <v>#REF!</v>
      </c>
      <c r="BR29" s="39" t="e">
        <f t="shared" si="9"/>
        <v>#REF!</v>
      </c>
      <c r="BS29" s="39" t="e">
        <f t="shared" si="9"/>
        <v>#REF!</v>
      </c>
      <c r="BT29" s="39" t="e">
        <f t="shared" si="9"/>
        <v>#REF!</v>
      </c>
      <c r="BU29" s="39" t="e">
        <f t="shared" si="9"/>
        <v>#REF!</v>
      </c>
      <c r="BV29" s="39" t="e">
        <f t="shared" si="9"/>
        <v>#REF!</v>
      </c>
      <c r="BW29" s="39" t="e">
        <f t="shared" si="9"/>
        <v>#REF!</v>
      </c>
      <c r="BX29" s="39" t="e">
        <f t="shared" si="9"/>
        <v>#REF!</v>
      </c>
      <c r="BY29" s="39" t="e">
        <f t="shared" si="9"/>
        <v>#REF!</v>
      </c>
      <c r="BZ29" s="39" t="e">
        <f t="shared" si="9"/>
        <v>#REF!</v>
      </c>
      <c r="CA29" s="39" t="e">
        <f t="shared" si="9"/>
        <v>#REF!</v>
      </c>
      <c r="CB29" s="39" t="e">
        <f t="shared" si="9"/>
        <v>#REF!</v>
      </c>
      <c r="CC29" s="39" t="e">
        <f t="shared" si="9"/>
        <v>#REF!</v>
      </c>
      <c r="CD29" s="39" t="e">
        <f t="shared" si="9"/>
        <v>#REF!</v>
      </c>
      <c r="CE29" s="39" t="e">
        <f t="shared" si="9"/>
        <v>#REF!</v>
      </c>
      <c r="CF29" s="39" t="e">
        <f t="shared" si="9"/>
        <v>#REF!</v>
      </c>
      <c r="CG29" s="39" t="e">
        <f t="shared" si="9"/>
        <v>#REF!</v>
      </c>
    </row>
    <row r="30" spans="1:87" ht="14.25" customHeight="1" x14ac:dyDescent="0.4">
      <c r="A30" s="148"/>
      <c r="B30" s="148"/>
      <c r="C30" s="148"/>
      <c r="D30" s="148"/>
      <c r="E30" s="148"/>
      <c r="F30" s="148"/>
      <c r="G30" s="148"/>
      <c r="H30" s="148"/>
      <c r="I30" s="148"/>
      <c r="J30" s="148"/>
      <c r="K30" s="148"/>
      <c r="L30" s="148"/>
      <c r="M30" s="148"/>
      <c r="N30" s="148"/>
      <c r="O30" s="148"/>
      <c r="P30" s="148"/>
      <c r="Q30" s="148"/>
      <c r="R30" s="148"/>
      <c r="S30" s="148"/>
      <c r="T30" s="148"/>
      <c r="U30" s="148"/>
      <c r="V30" s="148"/>
      <c r="W30" s="148"/>
      <c r="X30" s="148"/>
      <c r="Y30" s="148"/>
      <c r="Z30" s="148"/>
      <c r="AA30" s="148"/>
      <c r="AB30" s="148"/>
      <c r="AC30" s="148"/>
      <c r="AD30" s="148"/>
      <c r="AE30" s="148"/>
      <c r="AF30" s="148"/>
      <c r="AG30" s="148"/>
      <c r="AH30" s="148"/>
      <c r="AI30" s="148"/>
      <c r="AJ30" s="148"/>
      <c r="AK30" s="148"/>
      <c r="AL30" s="148"/>
      <c r="AM30" s="148"/>
      <c r="AN30" s="148"/>
      <c r="AO30" s="148"/>
      <c r="AP30" s="148"/>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48"/>
      <c r="BM30" s="148"/>
      <c r="BN30" s="148"/>
      <c r="BO30" s="148"/>
      <c r="BP30" s="148"/>
      <c r="BQ30" s="148"/>
      <c r="BR30" s="148"/>
      <c r="BS30" s="148"/>
      <c r="BT30" s="148"/>
      <c r="BU30" s="148"/>
      <c r="BV30" s="148"/>
      <c r="BW30" s="148"/>
      <c r="BX30" s="148"/>
      <c r="BY30" s="148"/>
      <c r="BZ30" s="148"/>
      <c r="CA30" s="148"/>
      <c r="CB30" s="148"/>
      <c r="CC30" s="148"/>
      <c r="CD30" s="148"/>
      <c r="CE30" s="148"/>
      <c r="CF30" s="148"/>
      <c r="CG30" s="148"/>
    </row>
    <row r="31" spans="1:87" ht="14.25" customHeight="1" x14ac:dyDescent="0.4"/>
    <row r="32" spans="1:87" ht="14.25" customHeight="1" x14ac:dyDescent="0.4">
      <c r="A32" s="24" t="s">
        <v>547</v>
      </c>
    </row>
    <row r="33" spans="1:87" ht="14.25" customHeight="1" x14ac:dyDescent="0.4">
      <c r="A33" s="131" t="s">
        <v>191</v>
      </c>
      <c r="B33" s="70"/>
      <c r="C33" s="142" t="e">
        <f>'Budget First 84 months'!#REF!</f>
        <v>#REF!</v>
      </c>
      <c r="E33" t="s">
        <v>192</v>
      </c>
      <c r="F33" s="411" t="s">
        <v>544</v>
      </c>
    </row>
    <row r="34" spans="1:87" ht="14.25" customHeight="1" x14ac:dyDescent="0.4">
      <c r="A34" s="131" t="s">
        <v>194</v>
      </c>
      <c r="B34" s="70"/>
      <c r="C34" s="143">
        <v>7</v>
      </c>
      <c r="E34" t="s">
        <v>545</v>
      </c>
      <c r="F34">
        <v>84</v>
      </c>
    </row>
    <row r="35" spans="1:87" ht="14.25" customHeight="1" x14ac:dyDescent="0.4">
      <c r="A35" t="s">
        <v>241</v>
      </c>
      <c r="C35" s="144">
        <v>5.5E-2</v>
      </c>
      <c r="E35" t="s">
        <v>197</v>
      </c>
      <c r="F35" s="145">
        <f>C35/12</f>
        <v>4.5833333333333334E-3</v>
      </c>
    </row>
    <row r="36" spans="1:87" ht="14.25" customHeight="1" x14ac:dyDescent="0.4">
      <c r="A36" t="s">
        <v>198</v>
      </c>
      <c r="C36" s="70" t="s">
        <v>242</v>
      </c>
      <c r="E36" t="s">
        <v>200</v>
      </c>
      <c r="F36" s="147" t="e">
        <f>PMT(F35,F34,-C33,0)</f>
        <v>#REF!</v>
      </c>
    </row>
    <row r="38" spans="1:87" ht="14.25" customHeight="1" x14ac:dyDescent="0.4">
      <c r="A38" s="149" t="s">
        <v>56</v>
      </c>
      <c r="B38" s="149">
        <v>19</v>
      </c>
      <c r="C38" s="149">
        <v>20</v>
      </c>
      <c r="D38" s="149">
        <v>21</v>
      </c>
      <c r="E38" s="149">
        <v>22</v>
      </c>
      <c r="F38" s="149">
        <v>23</v>
      </c>
      <c r="G38" s="149">
        <v>24</v>
      </c>
      <c r="H38" s="149">
        <v>25</v>
      </c>
      <c r="I38" s="149">
        <v>26</v>
      </c>
      <c r="J38" s="149">
        <v>27</v>
      </c>
      <c r="K38" s="149">
        <v>28</v>
      </c>
      <c r="L38" s="149">
        <v>29</v>
      </c>
      <c r="M38" s="149">
        <v>30</v>
      </c>
      <c r="N38" s="149">
        <v>31</v>
      </c>
      <c r="O38" s="149">
        <v>32</v>
      </c>
      <c r="P38" s="149">
        <v>33</v>
      </c>
      <c r="Q38" s="149">
        <v>34</v>
      </c>
      <c r="R38" s="149">
        <v>35</v>
      </c>
      <c r="S38" s="149">
        <v>36</v>
      </c>
      <c r="T38" s="149">
        <v>37</v>
      </c>
      <c r="U38" s="149">
        <v>38</v>
      </c>
      <c r="V38" s="149">
        <v>39</v>
      </c>
      <c r="W38" s="149">
        <v>40</v>
      </c>
      <c r="X38" s="149">
        <v>41</v>
      </c>
      <c r="Y38" s="149">
        <v>42</v>
      </c>
      <c r="Z38" s="149">
        <v>43</v>
      </c>
      <c r="AA38" s="149">
        <v>44</v>
      </c>
      <c r="AB38" s="149">
        <v>45</v>
      </c>
      <c r="AC38" s="149">
        <v>46</v>
      </c>
      <c r="AD38" s="149">
        <v>47</v>
      </c>
      <c r="AE38" s="149">
        <v>48</v>
      </c>
      <c r="AF38" s="149">
        <v>49</v>
      </c>
      <c r="AG38" s="149">
        <v>50</v>
      </c>
      <c r="AH38" s="149">
        <v>51</v>
      </c>
      <c r="AI38" s="149">
        <v>52</v>
      </c>
      <c r="AJ38" s="149">
        <v>53</v>
      </c>
      <c r="AK38" s="149">
        <v>54</v>
      </c>
      <c r="AL38" s="149">
        <v>55</v>
      </c>
      <c r="AM38" s="149">
        <v>56</v>
      </c>
      <c r="AN38" s="149">
        <v>57</v>
      </c>
      <c r="AO38" s="149">
        <v>58</v>
      </c>
      <c r="AP38" s="149">
        <v>59</v>
      </c>
      <c r="AQ38" s="149">
        <v>60</v>
      </c>
      <c r="AR38" s="149">
        <v>61</v>
      </c>
      <c r="AS38" s="149">
        <v>62</v>
      </c>
      <c r="AT38" s="149">
        <v>63</v>
      </c>
      <c r="AU38" s="149">
        <v>64</v>
      </c>
      <c r="AV38" s="149">
        <v>65</v>
      </c>
      <c r="AW38" s="149">
        <v>66</v>
      </c>
      <c r="AX38" s="149">
        <v>67</v>
      </c>
      <c r="AY38" s="149">
        <v>68</v>
      </c>
      <c r="AZ38" s="149">
        <v>69</v>
      </c>
      <c r="BA38" s="149">
        <v>70</v>
      </c>
      <c r="BB38" s="149">
        <v>71</v>
      </c>
      <c r="BC38" s="149">
        <v>72</v>
      </c>
      <c r="BD38" s="149">
        <v>73</v>
      </c>
      <c r="BE38" s="149">
        <v>74</v>
      </c>
      <c r="BF38" s="149">
        <v>75</v>
      </c>
      <c r="BG38" s="149">
        <v>76</v>
      </c>
      <c r="BH38" s="149">
        <v>77</v>
      </c>
      <c r="BI38" s="149">
        <v>78</v>
      </c>
      <c r="BJ38" s="149">
        <v>79</v>
      </c>
      <c r="BK38" s="149">
        <v>80</v>
      </c>
      <c r="BL38" s="149">
        <v>81</v>
      </c>
      <c r="BM38" s="149">
        <v>82</v>
      </c>
      <c r="BN38" s="149">
        <v>83</v>
      </c>
      <c r="BO38" s="149">
        <v>84</v>
      </c>
      <c r="BP38" s="149">
        <v>85</v>
      </c>
      <c r="BQ38" s="149">
        <v>86</v>
      </c>
      <c r="BR38" s="149">
        <v>87</v>
      </c>
      <c r="BS38" s="149">
        <v>88</v>
      </c>
      <c r="BT38" s="149">
        <v>89</v>
      </c>
      <c r="BU38" s="149">
        <v>90</v>
      </c>
      <c r="BV38" s="149">
        <v>91</v>
      </c>
      <c r="BW38" s="149">
        <v>92</v>
      </c>
      <c r="BX38" s="149">
        <v>93</v>
      </c>
      <c r="BY38" s="149">
        <v>94</v>
      </c>
      <c r="BZ38" s="149">
        <v>95</v>
      </c>
      <c r="CA38" s="149">
        <v>96</v>
      </c>
      <c r="CB38" s="149">
        <v>97</v>
      </c>
      <c r="CC38" s="149">
        <v>98</v>
      </c>
      <c r="CD38" s="149">
        <v>99</v>
      </c>
      <c r="CE38" s="149">
        <v>100</v>
      </c>
      <c r="CF38" s="149">
        <v>101</v>
      </c>
      <c r="CG38" s="149">
        <v>102</v>
      </c>
      <c r="CH38" s="71"/>
      <c r="CI38" s="71"/>
    </row>
    <row r="39" spans="1:87" ht="16.5" customHeight="1" x14ac:dyDescent="0.4">
      <c r="A39" s="24" t="s">
        <v>202</v>
      </c>
      <c r="B39" s="39" t="e">
        <f>C33</f>
        <v>#REF!</v>
      </c>
      <c r="C39" s="39" t="e">
        <f t="shared" ref="C39:CG39" si="10">B43</f>
        <v>#REF!</v>
      </c>
      <c r="D39" s="39" t="e">
        <f t="shared" si="10"/>
        <v>#REF!</v>
      </c>
      <c r="E39" s="39" t="e">
        <f t="shared" si="10"/>
        <v>#REF!</v>
      </c>
      <c r="F39" s="39" t="e">
        <f t="shared" si="10"/>
        <v>#REF!</v>
      </c>
      <c r="G39" s="39" t="e">
        <f t="shared" si="10"/>
        <v>#REF!</v>
      </c>
      <c r="H39" s="39" t="e">
        <f t="shared" si="10"/>
        <v>#REF!</v>
      </c>
      <c r="I39" s="39" t="e">
        <f t="shared" si="10"/>
        <v>#REF!</v>
      </c>
      <c r="J39" s="39" t="e">
        <f t="shared" si="10"/>
        <v>#REF!</v>
      </c>
      <c r="K39" s="39" t="e">
        <f t="shared" si="10"/>
        <v>#REF!</v>
      </c>
      <c r="L39" s="39" t="e">
        <f t="shared" si="10"/>
        <v>#REF!</v>
      </c>
      <c r="M39" s="39" t="e">
        <f t="shared" si="10"/>
        <v>#REF!</v>
      </c>
      <c r="N39" s="39" t="e">
        <f t="shared" si="10"/>
        <v>#REF!</v>
      </c>
      <c r="O39" s="39" t="e">
        <f t="shared" si="10"/>
        <v>#REF!</v>
      </c>
      <c r="P39" s="39" t="e">
        <f t="shared" si="10"/>
        <v>#REF!</v>
      </c>
      <c r="Q39" s="39" t="e">
        <f t="shared" si="10"/>
        <v>#REF!</v>
      </c>
      <c r="R39" s="39" t="e">
        <f t="shared" si="10"/>
        <v>#REF!</v>
      </c>
      <c r="S39" s="39" t="e">
        <f t="shared" si="10"/>
        <v>#REF!</v>
      </c>
      <c r="T39" s="39" t="e">
        <f t="shared" si="10"/>
        <v>#REF!</v>
      </c>
      <c r="U39" s="39" t="e">
        <f t="shared" si="10"/>
        <v>#REF!</v>
      </c>
      <c r="V39" s="39" t="e">
        <f t="shared" si="10"/>
        <v>#REF!</v>
      </c>
      <c r="W39" s="39" t="e">
        <f t="shared" si="10"/>
        <v>#REF!</v>
      </c>
      <c r="X39" s="39" t="e">
        <f t="shared" si="10"/>
        <v>#REF!</v>
      </c>
      <c r="Y39" s="39" t="e">
        <f t="shared" si="10"/>
        <v>#REF!</v>
      </c>
      <c r="Z39" s="39" t="e">
        <f t="shared" si="10"/>
        <v>#REF!</v>
      </c>
      <c r="AA39" s="39" t="e">
        <f t="shared" si="10"/>
        <v>#REF!</v>
      </c>
      <c r="AB39" s="39" t="e">
        <f t="shared" si="10"/>
        <v>#REF!</v>
      </c>
      <c r="AC39" s="39" t="e">
        <f t="shared" si="10"/>
        <v>#REF!</v>
      </c>
      <c r="AD39" s="39" t="e">
        <f t="shared" si="10"/>
        <v>#REF!</v>
      </c>
      <c r="AE39" s="39" t="e">
        <f t="shared" si="10"/>
        <v>#REF!</v>
      </c>
      <c r="AF39" s="39" t="e">
        <f t="shared" si="10"/>
        <v>#REF!</v>
      </c>
      <c r="AG39" s="39" t="e">
        <f t="shared" si="10"/>
        <v>#REF!</v>
      </c>
      <c r="AH39" s="39" t="e">
        <f t="shared" si="10"/>
        <v>#REF!</v>
      </c>
      <c r="AI39" s="39" t="e">
        <f t="shared" si="10"/>
        <v>#REF!</v>
      </c>
      <c r="AJ39" s="39" t="e">
        <f t="shared" si="10"/>
        <v>#REF!</v>
      </c>
      <c r="AK39" s="39" t="e">
        <f t="shared" si="10"/>
        <v>#REF!</v>
      </c>
      <c r="AL39" s="39" t="e">
        <f t="shared" si="10"/>
        <v>#REF!</v>
      </c>
      <c r="AM39" s="39" t="e">
        <f t="shared" si="10"/>
        <v>#REF!</v>
      </c>
      <c r="AN39" s="39" t="e">
        <f t="shared" si="10"/>
        <v>#REF!</v>
      </c>
      <c r="AO39" s="39" t="e">
        <f t="shared" si="10"/>
        <v>#REF!</v>
      </c>
      <c r="AP39" s="39" t="e">
        <f t="shared" si="10"/>
        <v>#REF!</v>
      </c>
      <c r="AQ39" s="39" t="e">
        <f t="shared" si="10"/>
        <v>#REF!</v>
      </c>
      <c r="AR39" s="39" t="e">
        <f t="shared" si="10"/>
        <v>#REF!</v>
      </c>
      <c r="AS39" s="39" t="e">
        <f t="shared" si="10"/>
        <v>#REF!</v>
      </c>
      <c r="AT39" s="39" t="e">
        <f t="shared" si="10"/>
        <v>#REF!</v>
      </c>
      <c r="AU39" s="39" t="e">
        <f t="shared" si="10"/>
        <v>#REF!</v>
      </c>
      <c r="AV39" s="39" t="e">
        <f t="shared" si="10"/>
        <v>#REF!</v>
      </c>
      <c r="AW39" s="39" t="e">
        <f t="shared" si="10"/>
        <v>#REF!</v>
      </c>
      <c r="AX39" s="39" t="e">
        <f t="shared" si="10"/>
        <v>#REF!</v>
      </c>
      <c r="AY39" s="39" t="e">
        <f t="shared" si="10"/>
        <v>#REF!</v>
      </c>
      <c r="AZ39" s="39" t="e">
        <f t="shared" si="10"/>
        <v>#REF!</v>
      </c>
      <c r="BA39" s="39" t="e">
        <f t="shared" si="10"/>
        <v>#REF!</v>
      </c>
      <c r="BB39" s="39" t="e">
        <f t="shared" si="10"/>
        <v>#REF!</v>
      </c>
      <c r="BC39" s="39" t="e">
        <f t="shared" si="10"/>
        <v>#REF!</v>
      </c>
      <c r="BD39" s="39" t="e">
        <f t="shared" si="10"/>
        <v>#REF!</v>
      </c>
      <c r="BE39" s="39" t="e">
        <f t="shared" si="10"/>
        <v>#REF!</v>
      </c>
      <c r="BF39" s="39" t="e">
        <f t="shared" si="10"/>
        <v>#REF!</v>
      </c>
      <c r="BG39" s="39" t="e">
        <f t="shared" si="10"/>
        <v>#REF!</v>
      </c>
      <c r="BH39" s="39" t="e">
        <f t="shared" si="10"/>
        <v>#REF!</v>
      </c>
      <c r="BI39" s="39" t="e">
        <f t="shared" si="10"/>
        <v>#REF!</v>
      </c>
      <c r="BJ39" s="39" t="e">
        <f t="shared" si="10"/>
        <v>#REF!</v>
      </c>
      <c r="BK39" s="39" t="e">
        <f t="shared" si="10"/>
        <v>#REF!</v>
      </c>
      <c r="BL39" s="39" t="e">
        <f t="shared" si="10"/>
        <v>#REF!</v>
      </c>
      <c r="BM39" s="39" t="e">
        <f t="shared" si="10"/>
        <v>#REF!</v>
      </c>
      <c r="BN39" s="39" t="e">
        <f t="shared" si="10"/>
        <v>#REF!</v>
      </c>
      <c r="BO39" s="39" t="e">
        <f t="shared" si="10"/>
        <v>#REF!</v>
      </c>
      <c r="BP39" s="39" t="e">
        <f t="shared" si="10"/>
        <v>#REF!</v>
      </c>
      <c r="BQ39" s="39" t="e">
        <f t="shared" si="10"/>
        <v>#REF!</v>
      </c>
      <c r="BR39" s="39" t="e">
        <f t="shared" si="10"/>
        <v>#REF!</v>
      </c>
      <c r="BS39" s="39" t="e">
        <f t="shared" si="10"/>
        <v>#REF!</v>
      </c>
      <c r="BT39" s="39" t="e">
        <f t="shared" si="10"/>
        <v>#REF!</v>
      </c>
      <c r="BU39" s="39" t="e">
        <f t="shared" si="10"/>
        <v>#REF!</v>
      </c>
      <c r="BV39" s="39" t="e">
        <f t="shared" si="10"/>
        <v>#REF!</v>
      </c>
      <c r="BW39" s="39" t="e">
        <f t="shared" si="10"/>
        <v>#REF!</v>
      </c>
      <c r="BX39" s="39" t="e">
        <f t="shared" si="10"/>
        <v>#REF!</v>
      </c>
      <c r="BY39" s="39" t="e">
        <f t="shared" si="10"/>
        <v>#REF!</v>
      </c>
      <c r="BZ39" s="39" t="e">
        <f t="shared" si="10"/>
        <v>#REF!</v>
      </c>
      <c r="CA39" s="39" t="e">
        <f t="shared" si="10"/>
        <v>#REF!</v>
      </c>
      <c r="CB39" s="39" t="e">
        <f t="shared" si="10"/>
        <v>#REF!</v>
      </c>
      <c r="CC39" s="39" t="e">
        <f t="shared" si="10"/>
        <v>#REF!</v>
      </c>
      <c r="CD39" s="39" t="e">
        <f t="shared" si="10"/>
        <v>#REF!</v>
      </c>
      <c r="CE39" s="39" t="e">
        <f t="shared" si="10"/>
        <v>#REF!</v>
      </c>
      <c r="CF39" s="39" t="e">
        <f t="shared" si="10"/>
        <v>#REF!</v>
      </c>
      <c r="CG39" s="39" t="e">
        <f t="shared" si="10"/>
        <v>#REF!</v>
      </c>
    </row>
    <row r="40" spans="1:87" ht="14.25" customHeight="1" x14ac:dyDescent="0.4">
      <c r="A40" s="24" t="s">
        <v>203</v>
      </c>
      <c r="B40" s="39" t="e">
        <f t="shared" ref="B40:CG40" si="11">$F$36</f>
        <v>#REF!</v>
      </c>
      <c r="C40" s="39" t="e">
        <f t="shared" si="11"/>
        <v>#REF!</v>
      </c>
      <c r="D40" s="39" t="e">
        <f t="shared" si="11"/>
        <v>#REF!</v>
      </c>
      <c r="E40" s="39" t="e">
        <f t="shared" si="11"/>
        <v>#REF!</v>
      </c>
      <c r="F40" s="39" t="e">
        <f t="shared" si="11"/>
        <v>#REF!</v>
      </c>
      <c r="G40" s="39" t="e">
        <f t="shared" si="11"/>
        <v>#REF!</v>
      </c>
      <c r="H40" s="39" t="e">
        <f t="shared" si="11"/>
        <v>#REF!</v>
      </c>
      <c r="I40" s="39" t="e">
        <f t="shared" si="11"/>
        <v>#REF!</v>
      </c>
      <c r="J40" s="39" t="e">
        <f t="shared" si="11"/>
        <v>#REF!</v>
      </c>
      <c r="K40" s="39" t="e">
        <f t="shared" si="11"/>
        <v>#REF!</v>
      </c>
      <c r="L40" s="39" t="e">
        <f t="shared" si="11"/>
        <v>#REF!</v>
      </c>
      <c r="M40" s="39" t="e">
        <f t="shared" si="11"/>
        <v>#REF!</v>
      </c>
      <c r="N40" s="39" t="e">
        <f t="shared" si="11"/>
        <v>#REF!</v>
      </c>
      <c r="O40" s="39" t="e">
        <f t="shared" si="11"/>
        <v>#REF!</v>
      </c>
      <c r="P40" s="39" t="e">
        <f t="shared" si="11"/>
        <v>#REF!</v>
      </c>
      <c r="Q40" s="39" t="e">
        <f t="shared" si="11"/>
        <v>#REF!</v>
      </c>
      <c r="R40" s="39" t="e">
        <f t="shared" si="11"/>
        <v>#REF!</v>
      </c>
      <c r="S40" s="39" t="e">
        <f t="shared" si="11"/>
        <v>#REF!</v>
      </c>
      <c r="T40" s="39" t="e">
        <f t="shared" si="11"/>
        <v>#REF!</v>
      </c>
      <c r="U40" s="39" t="e">
        <f t="shared" si="11"/>
        <v>#REF!</v>
      </c>
      <c r="V40" s="39" t="e">
        <f t="shared" si="11"/>
        <v>#REF!</v>
      </c>
      <c r="W40" s="39" t="e">
        <f t="shared" si="11"/>
        <v>#REF!</v>
      </c>
      <c r="X40" s="39" t="e">
        <f t="shared" si="11"/>
        <v>#REF!</v>
      </c>
      <c r="Y40" s="39" t="e">
        <f t="shared" si="11"/>
        <v>#REF!</v>
      </c>
      <c r="Z40" s="39" t="e">
        <f t="shared" si="11"/>
        <v>#REF!</v>
      </c>
      <c r="AA40" s="39" t="e">
        <f t="shared" si="11"/>
        <v>#REF!</v>
      </c>
      <c r="AB40" s="39" t="e">
        <f t="shared" si="11"/>
        <v>#REF!</v>
      </c>
      <c r="AC40" s="39" t="e">
        <f t="shared" si="11"/>
        <v>#REF!</v>
      </c>
      <c r="AD40" s="39" t="e">
        <f t="shared" si="11"/>
        <v>#REF!</v>
      </c>
      <c r="AE40" s="39" t="e">
        <f t="shared" si="11"/>
        <v>#REF!</v>
      </c>
      <c r="AF40" s="39" t="e">
        <f t="shared" si="11"/>
        <v>#REF!</v>
      </c>
      <c r="AG40" s="39" t="e">
        <f t="shared" si="11"/>
        <v>#REF!</v>
      </c>
      <c r="AH40" s="39" t="e">
        <f t="shared" si="11"/>
        <v>#REF!</v>
      </c>
      <c r="AI40" s="39" t="e">
        <f t="shared" si="11"/>
        <v>#REF!</v>
      </c>
      <c r="AJ40" s="39" t="e">
        <f t="shared" si="11"/>
        <v>#REF!</v>
      </c>
      <c r="AK40" s="39" t="e">
        <f t="shared" si="11"/>
        <v>#REF!</v>
      </c>
      <c r="AL40" s="39" t="e">
        <f t="shared" si="11"/>
        <v>#REF!</v>
      </c>
      <c r="AM40" s="39" t="e">
        <f t="shared" si="11"/>
        <v>#REF!</v>
      </c>
      <c r="AN40" s="39" t="e">
        <f t="shared" si="11"/>
        <v>#REF!</v>
      </c>
      <c r="AO40" s="39" t="e">
        <f t="shared" si="11"/>
        <v>#REF!</v>
      </c>
      <c r="AP40" s="39" t="e">
        <f t="shared" si="11"/>
        <v>#REF!</v>
      </c>
      <c r="AQ40" s="39" t="e">
        <f t="shared" si="11"/>
        <v>#REF!</v>
      </c>
      <c r="AR40" s="39" t="e">
        <f t="shared" si="11"/>
        <v>#REF!</v>
      </c>
      <c r="AS40" s="39" t="e">
        <f t="shared" si="11"/>
        <v>#REF!</v>
      </c>
      <c r="AT40" s="39" t="e">
        <f t="shared" si="11"/>
        <v>#REF!</v>
      </c>
      <c r="AU40" s="39" t="e">
        <f t="shared" si="11"/>
        <v>#REF!</v>
      </c>
      <c r="AV40" s="39" t="e">
        <f t="shared" si="11"/>
        <v>#REF!</v>
      </c>
      <c r="AW40" s="39" t="e">
        <f t="shared" si="11"/>
        <v>#REF!</v>
      </c>
      <c r="AX40" s="39" t="e">
        <f t="shared" si="11"/>
        <v>#REF!</v>
      </c>
      <c r="AY40" s="39" t="e">
        <f t="shared" si="11"/>
        <v>#REF!</v>
      </c>
      <c r="AZ40" s="39" t="e">
        <f t="shared" si="11"/>
        <v>#REF!</v>
      </c>
      <c r="BA40" s="39" t="e">
        <f t="shared" si="11"/>
        <v>#REF!</v>
      </c>
      <c r="BB40" s="39" t="e">
        <f t="shared" si="11"/>
        <v>#REF!</v>
      </c>
      <c r="BC40" s="39" t="e">
        <f t="shared" si="11"/>
        <v>#REF!</v>
      </c>
      <c r="BD40" s="39" t="e">
        <f t="shared" si="11"/>
        <v>#REF!</v>
      </c>
      <c r="BE40" s="39" t="e">
        <f t="shared" si="11"/>
        <v>#REF!</v>
      </c>
      <c r="BF40" s="39" t="e">
        <f t="shared" si="11"/>
        <v>#REF!</v>
      </c>
      <c r="BG40" s="39" t="e">
        <f t="shared" si="11"/>
        <v>#REF!</v>
      </c>
      <c r="BH40" s="39" t="e">
        <f t="shared" si="11"/>
        <v>#REF!</v>
      </c>
      <c r="BI40" s="39" t="e">
        <f t="shared" si="11"/>
        <v>#REF!</v>
      </c>
      <c r="BJ40" s="39" t="e">
        <f t="shared" si="11"/>
        <v>#REF!</v>
      </c>
      <c r="BK40" s="39" t="e">
        <f t="shared" si="11"/>
        <v>#REF!</v>
      </c>
      <c r="BL40" s="39" t="e">
        <f t="shared" si="11"/>
        <v>#REF!</v>
      </c>
      <c r="BM40" s="39" t="e">
        <f t="shared" si="11"/>
        <v>#REF!</v>
      </c>
      <c r="BN40" s="39" t="e">
        <f t="shared" si="11"/>
        <v>#REF!</v>
      </c>
      <c r="BO40" s="39" t="e">
        <f t="shared" si="11"/>
        <v>#REF!</v>
      </c>
      <c r="BP40" s="39" t="e">
        <f t="shared" si="11"/>
        <v>#REF!</v>
      </c>
      <c r="BQ40" s="39" t="e">
        <f t="shared" si="11"/>
        <v>#REF!</v>
      </c>
      <c r="BR40" s="39" t="e">
        <f t="shared" si="11"/>
        <v>#REF!</v>
      </c>
      <c r="BS40" s="39" t="e">
        <f t="shared" si="11"/>
        <v>#REF!</v>
      </c>
      <c r="BT40" s="39" t="e">
        <f t="shared" si="11"/>
        <v>#REF!</v>
      </c>
      <c r="BU40" s="39" t="e">
        <f t="shared" si="11"/>
        <v>#REF!</v>
      </c>
      <c r="BV40" s="39" t="e">
        <f t="shared" si="11"/>
        <v>#REF!</v>
      </c>
      <c r="BW40" s="39" t="e">
        <f t="shared" si="11"/>
        <v>#REF!</v>
      </c>
      <c r="BX40" s="39" t="e">
        <f t="shared" si="11"/>
        <v>#REF!</v>
      </c>
      <c r="BY40" s="39" t="e">
        <f t="shared" si="11"/>
        <v>#REF!</v>
      </c>
      <c r="BZ40" s="39" t="e">
        <f t="shared" si="11"/>
        <v>#REF!</v>
      </c>
      <c r="CA40" s="39" t="e">
        <f t="shared" si="11"/>
        <v>#REF!</v>
      </c>
      <c r="CB40" s="39" t="e">
        <f t="shared" si="11"/>
        <v>#REF!</v>
      </c>
      <c r="CC40" s="39" t="e">
        <f t="shared" si="11"/>
        <v>#REF!</v>
      </c>
      <c r="CD40" s="39" t="e">
        <f t="shared" si="11"/>
        <v>#REF!</v>
      </c>
      <c r="CE40" s="39" t="e">
        <f t="shared" si="11"/>
        <v>#REF!</v>
      </c>
      <c r="CF40" s="39" t="e">
        <f t="shared" si="11"/>
        <v>#REF!</v>
      </c>
      <c r="CG40" s="39" t="e">
        <f t="shared" si="11"/>
        <v>#REF!</v>
      </c>
    </row>
    <row r="41" spans="1:87" ht="14.25" customHeight="1" x14ac:dyDescent="0.4">
      <c r="A41" s="24" t="s">
        <v>204</v>
      </c>
      <c r="B41" s="39" t="e">
        <f t="shared" ref="B41:CG41" si="12">-B39*$F$35</f>
        <v>#REF!</v>
      </c>
      <c r="C41" s="39" t="e">
        <f t="shared" si="12"/>
        <v>#REF!</v>
      </c>
      <c r="D41" s="39" t="e">
        <f t="shared" si="12"/>
        <v>#REF!</v>
      </c>
      <c r="E41" s="39" t="e">
        <f t="shared" si="12"/>
        <v>#REF!</v>
      </c>
      <c r="F41" s="39" t="e">
        <f t="shared" si="12"/>
        <v>#REF!</v>
      </c>
      <c r="G41" s="39" t="e">
        <f t="shared" si="12"/>
        <v>#REF!</v>
      </c>
      <c r="H41" s="39" t="e">
        <f t="shared" si="12"/>
        <v>#REF!</v>
      </c>
      <c r="I41" s="39" t="e">
        <f t="shared" si="12"/>
        <v>#REF!</v>
      </c>
      <c r="J41" s="39" t="e">
        <f t="shared" si="12"/>
        <v>#REF!</v>
      </c>
      <c r="K41" s="39" t="e">
        <f t="shared" si="12"/>
        <v>#REF!</v>
      </c>
      <c r="L41" s="39" t="e">
        <f t="shared" si="12"/>
        <v>#REF!</v>
      </c>
      <c r="M41" s="39" t="e">
        <f t="shared" si="12"/>
        <v>#REF!</v>
      </c>
      <c r="N41" s="39" t="e">
        <f t="shared" si="12"/>
        <v>#REF!</v>
      </c>
      <c r="O41" s="39" t="e">
        <f t="shared" si="12"/>
        <v>#REF!</v>
      </c>
      <c r="P41" s="39" t="e">
        <f t="shared" si="12"/>
        <v>#REF!</v>
      </c>
      <c r="Q41" s="39" t="e">
        <f t="shared" si="12"/>
        <v>#REF!</v>
      </c>
      <c r="R41" s="39" t="e">
        <f t="shared" si="12"/>
        <v>#REF!</v>
      </c>
      <c r="S41" s="39" t="e">
        <f t="shared" si="12"/>
        <v>#REF!</v>
      </c>
      <c r="T41" s="39" t="e">
        <f t="shared" si="12"/>
        <v>#REF!</v>
      </c>
      <c r="U41" s="39" t="e">
        <f t="shared" si="12"/>
        <v>#REF!</v>
      </c>
      <c r="V41" s="39" t="e">
        <f t="shared" si="12"/>
        <v>#REF!</v>
      </c>
      <c r="W41" s="39" t="e">
        <f t="shared" si="12"/>
        <v>#REF!</v>
      </c>
      <c r="X41" s="39" t="e">
        <f t="shared" si="12"/>
        <v>#REF!</v>
      </c>
      <c r="Y41" s="39" t="e">
        <f t="shared" si="12"/>
        <v>#REF!</v>
      </c>
      <c r="Z41" s="39" t="e">
        <f t="shared" si="12"/>
        <v>#REF!</v>
      </c>
      <c r="AA41" s="39" t="e">
        <f t="shared" si="12"/>
        <v>#REF!</v>
      </c>
      <c r="AB41" s="39" t="e">
        <f t="shared" si="12"/>
        <v>#REF!</v>
      </c>
      <c r="AC41" s="39" t="e">
        <f t="shared" si="12"/>
        <v>#REF!</v>
      </c>
      <c r="AD41" s="39" t="e">
        <f t="shared" si="12"/>
        <v>#REF!</v>
      </c>
      <c r="AE41" s="39" t="e">
        <f t="shared" si="12"/>
        <v>#REF!</v>
      </c>
      <c r="AF41" s="39" t="e">
        <f t="shared" si="12"/>
        <v>#REF!</v>
      </c>
      <c r="AG41" s="39" t="e">
        <f t="shared" si="12"/>
        <v>#REF!</v>
      </c>
      <c r="AH41" s="39" t="e">
        <f t="shared" si="12"/>
        <v>#REF!</v>
      </c>
      <c r="AI41" s="39" t="e">
        <f t="shared" si="12"/>
        <v>#REF!</v>
      </c>
      <c r="AJ41" s="39" t="e">
        <f t="shared" si="12"/>
        <v>#REF!</v>
      </c>
      <c r="AK41" s="39" t="e">
        <f t="shared" si="12"/>
        <v>#REF!</v>
      </c>
      <c r="AL41" s="39" t="e">
        <f t="shared" si="12"/>
        <v>#REF!</v>
      </c>
      <c r="AM41" s="39" t="e">
        <f t="shared" si="12"/>
        <v>#REF!</v>
      </c>
      <c r="AN41" s="39" t="e">
        <f t="shared" si="12"/>
        <v>#REF!</v>
      </c>
      <c r="AO41" s="39" t="e">
        <f t="shared" si="12"/>
        <v>#REF!</v>
      </c>
      <c r="AP41" s="39" t="e">
        <f t="shared" si="12"/>
        <v>#REF!</v>
      </c>
      <c r="AQ41" s="39" t="e">
        <f t="shared" si="12"/>
        <v>#REF!</v>
      </c>
      <c r="AR41" s="39" t="e">
        <f t="shared" si="12"/>
        <v>#REF!</v>
      </c>
      <c r="AS41" s="39" t="e">
        <f t="shared" si="12"/>
        <v>#REF!</v>
      </c>
      <c r="AT41" s="39" t="e">
        <f t="shared" si="12"/>
        <v>#REF!</v>
      </c>
      <c r="AU41" s="39" t="e">
        <f t="shared" si="12"/>
        <v>#REF!</v>
      </c>
      <c r="AV41" s="39" t="e">
        <f t="shared" si="12"/>
        <v>#REF!</v>
      </c>
      <c r="AW41" s="39" t="e">
        <f t="shared" si="12"/>
        <v>#REF!</v>
      </c>
      <c r="AX41" s="39" t="e">
        <f t="shared" si="12"/>
        <v>#REF!</v>
      </c>
      <c r="AY41" s="39" t="e">
        <f t="shared" si="12"/>
        <v>#REF!</v>
      </c>
      <c r="AZ41" s="39" t="e">
        <f t="shared" si="12"/>
        <v>#REF!</v>
      </c>
      <c r="BA41" s="39" t="e">
        <f t="shared" si="12"/>
        <v>#REF!</v>
      </c>
      <c r="BB41" s="39" t="e">
        <f t="shared" si="12"/>
        <v>#REF!</v>
      </c>
      <c r="BC41" s="39" t="e">
        <f t="shared" si="12"/>
        <v>#REF!</v>
      </c>
      <c r="BD41" s="39" t="e">
        <f t="shared" si="12"/>
        <v>#REF!</v>
      </c>
      <c r="BE41" s="39" t="e">
        <f t="shared" si="12"/>
        <v>#REF!</v>
      </c>
      <c r="BF41" s="39" t="e">
        <f t="shared" si="12"/>
        <v>#REF!</v>
      </c>
      <c r="BG41" s="39" t="e">
        <f t="shared" si="12"/>
        <v>#REF!</v>
      </c>
      <c r="BH41" s="39" t="e">
        <f t="shared" si="12"/>
        <v>#REF!</v>
      </c>
      <c r="BI41" s="39" t="e">
        <f t="shared" si="12"/>
        <v>#REF!</v>
      </c>
      <c r="BJ41" s="39" t="e">
        <f t="shared" si="12"/>
        <v>#REF!</v>
      </c>
      <c r="BK41" s="39" t="e">
        <f t="shared" si="12"/>
        <v>#REF!</v>
      </c>
      <c r="BL41" s="39" t="e">
        <f t="shared" si="12"/>
        <v>#REF!</v>
      </c>
      <c r="BM41" s="39" t="e">
        <f t="shared" si="12"/>
        <v>#REF!</v>
      </c>
      <c r="BN41" s="39" t="e">
        <f t="shared" si="12"/>
        <v>#REF!</v>
      </c>
      <c r="BO41" s="39" t="e">
        <f t="shared" si="12"/>
        <v>#REF!</v>
      </c>
      <c r="BP41" s="39" t="e">
        <f t="shared" si="12"/>
        <v>#REF!</v>
      </c>
      <c r="BQ41" s="39" t="e">
        <f t="shared" si="12"/>
        <v>#REF!</v>
      </c>
      <c r="BR41" s="39" t="e">
        <f t="shared" si="12"/>
        <v>#REF!</v>
      </c>
      <c r="BS41" s="39" t="e">
        <f t="shared" si="12"/>
        <v>#REF!</v>
      </c>
      <c r="BT41" s="39" t="e">
        <f t="shared" si="12"/>
        <v>#REF!</v>
      </c>
      <c r="BU41" s="39" t="e">
        <f t="shared" si="12"/>
        <v>#REF!</v>
      </c>
      <c r="BV41" s="39" t="e">
        <f t="shared" si="12"/>
        <v>#REF!</v>
      </c>
      <c r="BW41" s="39" t="e">
        <f t="shared" si="12"/>
        <v>#REF!</v>
      </c>
      <c r="BX41" s="39" t="e">
        <f t="shared" si="12"/>
        <v>#REF!</v>
      </c>
      <c r="BY41" s="39" t="e">
        <f t="shared" si="12"/>
        <v>#REF!</v>
      </c>
      <c r="BZ41" s="39" t="e">
        <f t="shared" si="12"/>
        <v>#REF!</v>
      </c>
      <c r="CA41" s="39" t="e">
        <f t="shared" si="12"/>
        <v>#REF!</v>
      </c>
      <c r="CB41" s="39" t="e">
        <f t="shared" si="12"/>
        <v>#REF!</v>
      </c>
      <c r="CC41" s="39" t="e">
        <f t="shared" si="12"/>
        <v>#REF!</v>
      </c>
      <c r="CD41" s="39" t="e">
        <f t="shared" si="12"/>
        <v>#REF!</v>
      </c>
      <c r="CE41" s="39" t="e">
        <f t="shared" si="12"/>
        <v>#REF!</v>
      </c>
      <c r="CF41" s="39" t="e">
        <f t="shared" si="12"/>
        <v>#REF!</v>
      </c>
      <c r="CG41" s="39" t="e">
        <f t="shared" si="12"/>
        <v>#REF!</v>
      </c>
    </row>
    <row r="42" spans="1:87" ht="14.25" customHeight="1" x14ac:dyDescent="0.4">
      <c r="A42" s="24" t="s">
        <v>205</v>
      </c>
      <c r="B42" s="39" t="e">
        <f t="shared" ref="B42:CG42" si="13">B40+B41</f>
        <v>#REF!</v>
      </c>
      <c r="C42" s="39" t="e">
        <f t="shared" si="13"/>
        <v>#REF!</v>
      </c>
      <c r="D42" s="39" t="e">
        <f t="shared" si="13"/>
        <v>#REF!</v>
      </c>
      <c r="E42" s="39" t="e">
        <f t="shared" si="13"/>
        <v>#REF!</v>
      </c>
      <c r="F42" s="39" t="e">
        <f t="shared" si="13"/>
        <v>#REF!</v>
      </c>
      <c r="G42" s="39" t="e">
        <f t="shared" si="13"/>
        <v>#REF!</v>
      </c>
      <c r="H42" s="39" t="e">
        <f t="shared" si="13"/>
        <v>#REF!</v>
      </c>
      <c r="I42" s="39" t="e">
        <f t="shared" si="13"/>
        <v>#REF!</v>
      </c>
      <c r="J42" s="39" t="e">
        <f t="shared" si="13"/>
        <v>#REF!</v>
      </c>
      <c r="K42" s="39" t="e">
        <f t="shared" si="13"/>
        <v>#REF!</v>
      </c>
      <c r="L42" s="39" t="e">
        <f t="shared" si="13"/>
        <v>#REF!</v>
      </c>
      <c r="M42" s="39" t="e">
        <f t="shared" si="13"/>
        <v>#REF!</v>
      </c>
      <c r="N42" s="39" t="e">
        <f t="shared" si="13"/>
        <v>#REF!</v>
      </c>
      <c r="O42" s="39" t="e">
        <f t="shared" si="13"/>
        <v>#REF!</v>
      </c>
      <c r="P42" s="39" t="e">
        <f t="shared" si="13"/>
        <v>#REF!</v>
      </c>
      <c r="Q42" s="39" t="e">
        <f t="shared" si="13"/>
        <v>#REF!</v>
      </c>
      <c r="R42" s="39" t="e">
        <f t="shared" si="13"/>
        <v>#REF!</v>
      </c>
      <c r="S42" s="39" t="e">
        <f t="shared" si="13"/>
        <v>#REF!</v>
      </c>
      <c r="T42" s="39" t="e">
        <f t="shared" si="13"/>
        <v>#REF!</v>
      </c>
      <c r="U42" s="39" t="e">
        <f t="shared" si="13"/>
        <v>#REF!</v>
      </c>
      <c r="V42" s="39" t="e">
        <f t="shared" si="13"/>
        <v>#REF!</v>
      </c>
      <c r="W42" s="39" t="e">
        <f t="shared" si="13"/>
        <v>#REF!</v>
      </c>
      <c r="X42" s="39" t="e">
        <f t="shared" si="13"/>
        <v>#REF!</v>
      </c>
      <c r="Y42" s="39" t="e">
        <f t="shared" si="13"/>
        <v>#REF!</v>
      </c>
      <c r="Z42" s="39" t="e">
        <f t="shared" si="13"/>
        <v>#REF!</v>
      </c>
      <c r="AA42" s="39" t="e">
        <f t="shared" si="13"/>
        <v>#REF!</v>
      </c>
      <c r="AB42" s="39" t="e">
        <f t="shared" si="13"/>
        <v>#REF!</v>
      </c>
      <c r="AC42" s="39" t="e">
        <f t="shared" si="13"/>
        <v>#REF!</v>
      </c>
      <c r="AD42" s="39" t="e">
        <f t="shared" si="13"/>
        <v>#REF!</v>
      </c>
      <c r="AE42" s="39" t="e">
        <f t="shared" si="13"/>
        <v>#REF!</v>
      </c>
      <c r="AF42" s="39" t="e">
        <f t="shared" si="13"/>
        <v>#REF!</v>
      </c>
      <c r="AG42" s="39" t="e">
        <f t="shared" si="13"/>
        <v>#REF!</v>
      </c>
      <c r="AH42" s="39" t="e">
        <f t="shared" si="13"/>
        <v>#REF!</v>
      </c>
      <c r="AI42" s="39" t="e">
        <f t="shared" si="13"/>
        <v>#REF!</v>
      </c>
      <c r="AJ42" s="39" t="e">
        <f t="shared" si="13"/>
        <v>#REF!</v>
      </c>
      <c r="AK42" s="39" t="e">
        <f t="shared" si="13"/>
        <v>#REF!</v>
      </c>
      <c r="AL42" s="39" t="e">
        <f t="shared" si="13"/>
        <v>#REF!</v>
      </c>
      <c r="AM42" s="39" t="e">
        <f t="shared" si="13"/>
        <v>#REF!</v>
      </c>
      <c r="AN42" s="39" t="e">
        <f t="shared" si="13"/>
        <v>#REF!</v>
      </c>
      <c r="AO42" s="39" t="e">
        <f t="shared" si="13"/>
        <v>#REF!</v>
      </c>
      <c r="AP42" s="39" t="e">
        <f t="shared" si="13"/>
        <v>#REF!</v>
      </c>
      <c r="AQ42" s="39" t="e">
        <f t="shared" si="13"/>
        <v>#REF!</v>
      </c>
      <c r="AR42" s="39" t="e">
        <f t="shared" si="13"/>
        <v>#REF!</v>
      </c>
      <c r="AS42" s="39" t="e">
        <f t="shared" si="13"/>
        <v>#REF!</v>
      </c>
      <c r="AT42" s="39" t="e">
        <f t="shared" si="13"/>
        <v>#REF!</v>
      </c>
      <c r="AU42" s="39" t="e">
        <f t="shared" si="13"/>
        <v>#REF!</v>
      </c>
      <c r="AV42" s="39" t="e">
        <f t="shared" si="13"/>
        <v>#REF!</v>
      </c>
      <c r="AW42" s="39" t="e">
        <f t="shared" si="13"/>
        <v>#REF!</v>
      </c>
      <c r="AX42" s="39" t="e">
        <f t="shared" si="13"/>
        <v>#REF!</v>
      </c>
      <c r="AY42" s="39" t="e">
        <f t="shared" si="13"/>
        <v>#REF!</v>
      </c>
      <c r="AZ42" s="39" t="e">
        <f t="shared" si="13"/>
        <v>#REF!</v>
      </c>
      <c r="BA42" s="39" t="e">
        <f t="shared" si="13"/>
        <v>#REF!</v>
      </c>
      <c r="BB42" s="39" t="e">
        <f t="shared" si="13"/>
        <v>#REF!</v>
      </c>
      <c r="BC42" s="39" t="e">
        <f t="shared" si="13"/>
        <v>#REF!</v>
      </c>
      <c r="BD42" s="39" t="e">
        <f t="shared" si="13"/>
        <v>#REF!</v>
      </c>
      <c r="BE42" s="39" t="e">
        <f t="shared" si="13"/>
        <v>#REF!</v>
      </c>
      <c r="BF42" s="39" t="e">
        <f t="shared" si="13"/>
        <v>#REF!</v>
      </c>
      <c r="BG42" s="39" t="e">
        <f t="shared" si="13"/>
        <v>#REF!</v>
      </c>
      <c r="BH42" s="39" t="e">
        <f t="shared" si="13"/>
        <v>#REF!</v>
      </c>
      <c r="BI42" s="39" t="e">
        <f t="shared" si="13"/>
        <v>#REF!</v>
      </c>
      <c r="BJ42" s="39" t="e">
        <f t="shared" si="13"/>
        <v>#REF!</v>
      </c>
      <c r="BK42" s="39" t="e">
        <f t="shared" si="13"/>
        <v>#REF!</v>
      </c>
      <c r="BL42" s="39" t="e">
        <f t="shared" si="13"/>
        <v>#REF!</v>
      </c>
      <c r="BM42" s="39" t="e">
        <f t="shared" si="13"/>
        <v>#REF!</v>
      </c>
      <c r="BN42" s="39" t="e">
        <f t="shared" si="13"/>
        <v>#REF!</v>
      </c>
      <c r="BO42" s="39" t="e">
        <f t="shared" si="13"/>
        <v>#REF!</v>
      </c>
      <c r="BP42" s="39" t="e">
        <f t="shared" si="13"/>
        <v>#REF!</v>
      </c>
      <c r="BQ42" s="39" t="e">
        <f t="shared" si="13"/>
        <v>#REF!</v>
      </c>
      <c r="BR42" s="39" t="e">
        <f t="shared" si="13"/>
        <v>#REF!</v>
      </c>
      <c r="BS42" s="39" t="e">
        <f t="shared" si="13"/>
        <v>#REF!</v>
      </c>
      <c r="BT42" s="39" t="e">
        <f t="shared" si="13"/>
        <v>#REF!</v>
      </c>
      <c r="BU42" s="39" t="e">
        <f t="shared" si="13"/>
        <v>#REF!</v>
      </c>
      <c r="BV42" s="39" t="e">
        <f t="shared" si="13"/>
        <v>#REF!</v>
      </c>
      <c r="BW42" s="39" t="e">
        <f t="shared" si="13"/>
        <v>#REF!</v>
      </c>
      <c r="BX42" s="39" t="e">
        <f t="shared" si="13"/>
        <v>#REF!</v>
      </c>
      <c r="BY42" s="39" t="e">
        <f t="shared" si="13"/>
        <v>#REF!</v>
      </c>
      <c r="BZ42" s="39" t="e">
        <f t="shared" si="13"/>
        <v>#REF!</v>
      </c>
      <c r="CA42" s="39" t="e">
        <f t="shared" si="13"/>
        <v>#REF!</v>
      </c>
      <c r="CB42" s="39" t="e">
        <f t="shared" si="13"/>
        <v>#REF!</v>
      </c>
      <c r="CC42" s="39" t="e">
        <f t="shared" si="13"/>
        <v>#REF!</v>
      </c>
      <c r="CD42" s="39" t="e">
        <f t="shared" si="13"/>
        <v>#REF!</v>
      </c>
      <c r="CE42" s="39" t="e">
        <f t="shared" si="13"/>
        <v>#REF!</v>
      </c>
      <c r="CF42" s="39" t="e">
        <f t="shared" si="13"/>
        <v>#REF!</v>
      </c>
      <c r="CG42" s="39" t="e">
        <f t="shared" si="13"/>
        <v>#REF!</v>
      </c>
    </row>
    <row r="43" spans="1:87" ht="14.25" customHeight="1" x14ac:dyDescent="0.4">
      <c r="A43" s="24" t="s">
        <v>206</v>
      </c>
      <c r="B43" s="39" t="e">
        <f t="shared" ref="B43:CG43" si="14">B39-B42</f>
        <v>#REF!</v>
      </c>
      <c r="C43" s="39" t="e">
        <f t="shared" si="14"/>
        <v>#REF!</v>
      </c>
      <c r="D43" s="39" t="e">
        <f t="shared" si="14"/>
        <v>#REF!</v>
      </c>
      <c r="E43" s="39" t="e">
        <f t="shared" si="14"/>
        <v>#REF!</v>
      </c>
      <c r="F43" s="39" t="e">
        <f t="shared" si="14"/>
        <v>#REF!</v>
      </c>
      <c r="G43" s="39" t="e">
        <f t="shared" si="14"/>
        <v>#REF!</v>
      </c>
      <c r="H43" s="39" t="e">
        <f t="shared" si="14"/>
        <v>#REF!</v>
      </c>
      <c r="I43" s="39" t="e">
        <f t="shared" si="14"/>
        <v>#REF!</v>
      </c>
      <c r="J43" s="39" t="e">
        <f t="shared" si="14"/>
        <v>#REF!</v>
      </c>
      <c r="K43" s="39" t="e">
        <f t="shared" si="14"/>
        <v>#REF!</v>
      </c>
      <c r="L43" s="39" t="e">
        <f t="shared" si="14"/>
        <v>#REF!</v>
      </c>
      <c r="M43" s="39" t="e">
        <f t="shared" si="14"/>
        <v>#REF!</v>
      </c>
      <c r="N43" s="39" t="e">
        <f t="shared" si="14"/>
        <v>#REF!</v>
      </c>
      <c r="O43" s="39" t="e">
        <f t="shared" si="14"/>
        <v>#REF!</v>
      </c>
      <c r="P43" s="39" t="e">
        <f t="shared" si="14"/>
        <v>#REF!</v>
      </c>
      <c r="Q43" s="39" t="e">
        <f t="shared" si="14"/>
        <v>#REF!</v>
      </c>
      <c r="R43" s="39" t="e">
        <f t="shared" si="14"/>
        <v>#REF!</v>
      </c>
      <c r="S43" s="39" t="e">
        <f t="shared" si="14"/>
        <v>#REF!</v>
      </c>
      <c r="T43" s="39" t="e">
        <f t="shared" si="14"/>
        <v>#REF!</v>
      </c>
      <c r="U43" s="39" t="e">
        <f t="shared" si="14"/>
        <v>#REF!</v>
      </c>
      <c r="V43" s="39" t="e">
        <f t="shared" si="14"/>
        <v>#REF!</v>
      </c>
      <c r="W43" s="39" t="e">
        <f t="shared" si="14"/>
        <v>#REF!</v>
      </c>
      <c r="X43" s="39" t="e">
        <f t="shared" si="14"/>
        <v>#REF!</v>
      </c>
      <c r="Y43" s="39" t="e">
        <f t="shared" si="14"/>
        <v>#REF!</v>
      </c>
      <c r="Z43" s="39" t="e">
        <f t="shared" si="14"/>
        <v>#REF!</v>
      </c>
      <c r="AA43" s="39" t="e">
        <f t="shared" si="14"/>
        <v>#REF!</v>
      </c>
      <c r="AB43" s="39" t="e">
        <f t="shared" si="14"/>
        <v>#REF!</v>
      </c>
      <c r="AC43" s="39" t="e">
        <f t="shared" si="14"/>
        <v>#REF!</v>
      </c>
      <c r="AD43" s="39" t="e">
        <f t="shared" si="14"/>
        <v>#REF!</v>
      </c>
      <c r="AE43" s="39" t="e">
        <f t="shared" si="14"/>
        <v>#REF!</v>
      </c>
      <c r="AF43" s="39" t="e">
        <f t="shared" si="14"/>
        <v>#REF!</v>
      </c>
      <c r="AG43" s="39" t="e">
        <f t="shared" si="14"/>
        <v>#REF!</v>
      </c>
      <c r="AH43" s="39" t="e">
        <f t="shared" si="14"/>
        <v>#REF!</v>
      </c>
      <c r="AI43" s="39" t="e">
        <f t="shared" si="14"/>
        <v>#REF!</v>
      </c>
      <c r="AJ43" s="39" t="e">
        <f t="shared" si="14"/>
        <v>#REF!</v>
      </c>
      <c r="AK43" s="39" t="e">
        <f t="shared" si="14"/>
        <v>#REF!</v>
      </c>
      <c r="AL43" s="39" t="e">
        <f t="shared" si="14"/>
        <v>#REF!</v>
      </c>
      <c r="AM43" s="39" t="e">
        <f t="shared" si="14"/>
        <v>#REF!</v>
      </c>
      <c r="AN43" s="39" t="e">
        <f t="shared" si="14"/>
        <v>#REF!</v>
      </c>
      <c r="AO43" s="39" t="e">
        <f t="shared" si="14"/>
        <v>#REF!</v>
      </c>
      <c r="AP43" s="39" t="e">
        <f t="shared" si="14"/>
        <v>#REF!</v>
      </c>
      <c r="AQ43" s="39" t="e">
        <f t="shared" si="14"/>
        <v>#REF!</v>
      </c>
      <c r="AR43" s="39" t="e">
        <f t="shared" si="14"/>
        <v>#REF!</v>
      </c>
      <c r="AS43" s="39" t="e">
        <f t="shared" si="14"/>
        <v>#REF!</v>
      </c>
      <c r="AT43" s="39" t="e">
        <f t="shared" si="14"/>
        <v>#REF!</v>
      </c>
      <c r="AU43" s="39" t="e">
        <f t="shared" si="14"/>
        <v>#REF!</v>
      </c>
      <c r="AV43" s="39" t="e">
        <f t="shared" si="14"/>
        <v>#REF!</v>
      </c>
      <c r="AW43" s="39" t="e">
        <f t="shared" si="14"/>
        <v>#REF!</v>
      </c>
      <c r="AX43" s="39" t="e">
        <f t="shared" si="14"/>
        <v>#REF!</v>
      </c>
      <c r="AY43" s="39" t="e">
        <f t="shared" si="14"/>
        <v>#REF!</v>
      </c>
      <c r="AZ43" s="39" t="e">
        <f t="shared" si="14"/>
        <v>#REF!</v>
      </c>
      <c r="BA43" s="39" t="e">
        <f t="shared" si="14"/>
        <v>#REF!</v>
      </c>
      <c r="BB43" s="39" t="e">
        <f t="shared" si="14"/>
        <v>#REF!</v>
      </c>
      <c r="BC43" s="39" t="e">
        <f t="shared" si="14"/>
        <v>#REF!</v>
      </c>
      <c r="BD43" s="39" t="e">
        <f t="shared" si="14"/>
        <v>#REF!</v>
      </c>
      <c r="BE43" s="39" t="e">
        <f t="shared" si="14"/>
        <v>#REF!</v>
      </c>
      <c r="BF43" s="39" t="e">
        <f t="shared" si="14"/>
        <v>#REF!</v>
      </c>
      <c r="BG43" s="39" t="e">
        <f t="shared" si="14"/>
        <v>#REF!</v>
      </c>
      <c r="BH43" s="39" t="e">
        <f t="shared" si="14"/>
        <v>#REF!</v>
      </c>
      <c r="BI43" s="39" t="e">
        <f t="shared" si="14"/>
        <v>#REF!</v>
      </c>
      <c r="BJ43" s="39" t="e">
        <f t="shared" si="14"/>
        <v>#REF!</v>
      </c>
      <c r="BK43" s="39" t="e">
        <f t="shared" si="14"/>
        <v>#REF!</v>
      </c>
      <c r="BL43" s="39" t="e">
        <f t="shared" si="14"/>
        <v>#REF!</v>
      </c>
      <c r="BM43" s="39" t="e">
        <f t="shared" si="14"/>
        <v>#REF!</v>
      </c>
      <c r="BN43" s="39" t="e">
        <f t="shared" si="14"/>
        <v>#REF!</v>
      </c>
      <c r="BO43" s="39" t="e">
        <f t="shared" si="14"/>
        <v>#REF!</v>
      </c>
      <c r="BP43" s="39" t="e">
        <f t="shared" si="14"/>
        <v>#REF!</v>
      </c>
      <c r="BQ43" s="39" t="e">
        <f t="shared" si="14"/>
        <v>#REF!</v>
      </c>
      <c r="BR43" s="39" t="e">
        <f t="shared" si="14"/>
        <v>#REF!</v>
      </c>
      <c r="BS43" s="39" t="e">
        <f t="shared" si="14"/>
        <v>#REF!</v>
      </c>
      <c r="BT43" s="39" t="e">
        <f t="shared" si="14"/>
        <v>#REF!</v>
      </c>
      <c r="BU43" s="39" t="e">
        <f t="shared" si="14"/>
        <v>#REF!</v>
      </c>
      <c r="BV43" s="39" t="e">
        <f t="shared" si="14"/>
        <v>#REF!</v>
      </c>
      <c r="BW43" s="39" t="e">
        <f t="shared" si="14"/>
        <v>#REF!</v>
      </c>
      <c r="BX43" s="39" t="e">
        <f t="shared" si="14"/>
        <v>#REF!</v>
      </c>
      <c r="BY43" s="39" t="e">
        <f t="shared" si="14"/>
        <v>#REF!</v>
      </c>
      <c r="BZ43" s="39" t="e">
        <f t="shared" si="14"/>
        <v>#REF!</v>
      </c>
      <c r="CA43" s="39" t="e">
        <f t="shared" si="14"/>
        <v>#REF!</v>
      </c>
      <c r="CB43" s="39" t="e">
        <f t="shared" si="14"/>
        <v>#REF!</v>
      </c>
      <c r="CC43" s="39" t="e">
        <f t="shared" si="14"/>
        <v>#REF!</v>
      </c>
      <c r="CD43" s="39" t="e">
        <f t="shared" si="14"/>
        <v>#REF!</v>
      </c>
      <c r="CE43" s="39" t="e">
        <f t="shared" si="14"/>
        <v>#REF!</v>
      </c>
      <c r="CF43" s="39" t="e">
        <f t="shared" si="14"/>
        <v>#REF!</v>
      </c>
      <c r="CG43" s="39" t="e">
        <f t="shared" si="14"/>
        <v>#REF!</v>
      </c>
    </row>
    <row r="44" spans="1:87" ht="14.25" customHeight="1" x14ac:dyDescent="0.4">
      <c r="A44" s="148"/>
      <c r="B44" s="148"/>
      <c r="C44" s="148"/>
      <c r="D44" s="148"/>
      <c r="E44" s="148"/>
      <c r="F44" s="148"/>
      <c r="G44" s="148"/>
      <c r="H44" s="148"/>
      <c r="I44" s="148"/>
      <c r="J44" s="148"/>
      <c r="K44" s="148"/>
      <c r="L44" s="148"/>
      <c r="M44" s="148"/>
      <c r="N44" s="148"/>
      <c r="O44" s="148"/>
      <c r="P44" s="148"/>
      <c r="Q44" s="148"/>
      <c r="R44" s="148"/>
      <c r="S44" s="148"/>
      <c r="T44" s="148"/>
      <c r="U44" s="148"/>
      <c r="V44" s="148"/>
      <c r="W44" s="148"/>
      <c r="X44" s="148"/>
      <c r="Y44" s="148"/>
      <c r="Z44" s="148"/>
      <c r="AA44" s="148"/>
      <c r="AB44" s="148"/>
      <c r="AC44" s="148"/>
      <c r="AD44" s="148"/>
      <c r="AE44" s="148"/>
      <c r="AF44" s="148"/>
      <c r="AG44" s="148"/>
      <c r="AH44" s="148"/>
      <c r="AI44" s="148"/>
      <c r="AJ44" s="148"/>
      <c r="AK44" s="148"/>
      <c r="AL44" s="148"/>
      <c r="AM44" s="148"/>
      <c r="AN44" s="148"/>
      <c r="AO44" s="148"/>
      <c r="AP44" s="148"/>
      <c r="AQ44" s="148"/>
      <c r="AR44" s="148"/>
      <c r="AS44" s="148"/>
      <c r="AT44" s="148"/>
      <c r="AU44" s="148"/>
      <c r="AV44" s="148"/>
      <c r="AW44" s="148"/>
      <c r="AX44" s="148"/>
      <c r="AY44" s="148"/>
      <c r="AZ44" s="148"/>
      <c r="BA44" s="148"/>
      <c r="BB44" s="148"/>
      <c r="BC44" s="148"/>
      <c r="BD44" s="148"/>
      <c r="BE44" s="148"/>
      <c r="BF44" s="148"/>
      <c r="BG44" s="148"/>
      <c r="BH44" s="148"/>
      <c r="BI44" s="148"/>
      <c r="BJ44" s="148"/>
      <c r="BK44" s="148"/>
      <c r="BL44" s="148"/>
      <c r="BM44" s="148"/>
      <c r="BN44" s="148"/>
      <c r="BO44" s="148"/>
      <c r="BP44" s="148"/>
      <c r="BQ44" s="148"/>
      <c r="BR44" s="148"/>
      <c r="BS44" s="148"/>
      <c r="BT44" s="148"/>
      <c r="BU44" s="148"/>
      <c r="BV44" s="148"/>
      <c r="BW44" s="148"/>
      <c r="BX44" s="148"/>
      <c r="BY44" s="148"/>
      <c r="BZ44" s="148"/>
      <c r="CA44" s="148"/>
      <c r="CB44" s="148"/>
      <c r="CC44" s="148"/>
      <c r="CD44" s="148"/>
      <c r="CE44" s="148"/>
      <c r="CF44" s="148"/>
      <c r="CG44" s="148"/>
    </row>
    <row r="45" spans="1:87" ht="14.25" customHeight="1" x14ac:dyDescent="0.4"/>
    <row r="46" spans="1:87" ht="14.25" customHeight="1" x14ac:dyDescent="0.4">
      <c r="A46" s="24" t="s">
        <v>548</v>
      </c>
    </row>
    <row r="47" spans="1:87" ht="14.25" customHeight="1" x14ac:dyDescent="0.4">
      <c r="A47" s="131" t="s">
        <v>191</v>
      </c>
      <c r="B47" s="70"/>
      <c r="C47" s="142" t="e">
        <f>'Budget First 84 months'!#REF!</f>
        <v>#REF!</v>
      </c>
      <c r="E47" t="s">
        <v>192</v>
      </c>
      <c r="F47" s="411" t="s">
        <v>544</v>
      </c>
    </row>
    <row r="48" spans="1:87" ht="14.25" customHeight="1" x14ac:dyDescent="0.4">
      <c r="A48" s="131" t="s">
        <v>194</v>
      </c>
      <c r="B48" s="70"/>
      <c r="C48" s="143">
        <v>7</v>
      </c>
      <c r="E48" t="s">
        <v>545</v>
      </c>
      <c r="F48">
        <v>84</v>
      </c>
    </row>
    <row r="49" spans="1:87" ht="14.25" customHeight="1" x14ac:dyDescent="0.4">
      <c r="A49" t="s">
        <v>241</v>
      </c>
      <c r="C49" s="144">
        <v>5.5E-2</v>
      </c>
      <c r="E49" t="s">
        <v>197</v>
      </c>
      <c r="F49" s="145">
        <f>C49/12</f>
        <v>4.5833333333333334E-3</v>
      </c>
    </row>
    <row r="50" spans="1:87" ht="14.25" customHeight="1" x14ac:dyDescent="0.4">
      <c r="A50" t="s">
        <v>198</v>
      </c>
      <c r="C50" s="146" t="s">
        <v>247</v>
      </c>
      <c r="E50" t="s">
        <v>200</v>
      </c>
      <c r="F50" s="147" t="e">
        <f>PMT(F49,F48,-C47,0)</f>
        <v>#REF!</v>
      </c>
    </row>
    <row r="52" spans="1:87" ht="14.25" customHeight="1" x14ac:dyDescent="0.4">
      <c r="A52" s="149" t="s">
        <v>56</v>
      </c>
      <c r="B52" s="149">
        <v>21</v>
      </c>
      <c r="C52" s="149">
        <v>22</v>
      </c>
      <c r="D52" s="149">
        <v>23</v>
      </c>
      <c r="E52" s="149">
        <v>24</v>
      </c>
      <c r="F52" s="149">
        <v>25</v>
      </c>
      <c r="G52" s="149">
        <v>26</v>
      </c>
      <c r="H52" s="149">
        <v>27</v>
      </c>
      <c r="I52" s="149">
        <v>28</v>
      </c>
      <c r="J52" s="149">
        <v>29</v>
      </c>
      <c r="K52" s="149">
        <v>30</v>
      </c>
      <c r="L52" s="149">
        <v>31</v>
      </c>
      <c r="M52" s="149">
        <v>32</v>
      </c>
      <c r="N52" s="149">
        <v>33</v>
      </c>
      <c r="O52" s="149">
        <v>34</v>
      </c>
      <c r="P52" s="149">
        <v>35</v>
      </c>
      <c r="Q52" s="149">
        <v>36</v>
      </c>
      <c r="R52" s="149">
        <v>37</v>
      </c>
      <c r="S52" s="149">
        <v>38</v>
      </c>
      <c r="T52" s="149">
        <v>39</v>
      </c>
      <c r="U52" s="149">
        <v>40</v>
      </c>
      <c r="V52" s="149">
        <v>41</v>
      </c>
      <c r="W52" s="149">
        <v>42</v>
      </c>
      <c r="X52" s="149">
        <v>43</v>
      </c>
      <c r="Y52" s="149">
        <v>44</v>
      </c>
      <c r="Z52" s="149">
        <v>45</v>
      </c>
      <c r="AA52" s="149">
        <v>46</v>
      </c>
      <c r="AB52" s="149">
        <v>47</v>
      </c>
      <c r="AC52" s="149">
        <v>48</v>
      </c>
      <c r="AD52" s="149">
        <v>49</v>
      </c>
      <c r="AE52" s="149">
        <v>50</v>
      </c>
      <c r="AF52" s="149">
        <v>51</v>
      </c>
      <c r="AG52" s="149">
        <v>52</v>
      </c>
      <c r="AH52" s="149">
        <v>53</v>
      </c>
      <c r="AI52" s="149">
        <v>54</v>
      </c>
      <c r="AJ52" s="149">
        <v>55</v>
      </c>
      <c r="AK52" s="149">
        <v>56</v>
      </c>
      <c r="AL52" s="149">
        <v>57</v>
      </c>
      <c r="AM52" s="149">
        <v>58</v>
      </c>
      <c r="AN52" s="149">
        <v>59</v>
      </c>
      <c r="AO52" s="149">
        <v>60</v>
      </c>
      <c r="AP52" s="149">
        <v>61</v>
      </c>
      <c r="AQ52" s="149">
        <v>62</v>
      </c>
      <c r="AR52" s="149">
        <v>63</v>
      </c>
      <c r="AS52" s="149">
        <v>64</v>
      </c>
      <c r="AT52" s="149">
        <v>65</v>
      </c>
      <c r="AU52" s="149">
        <v>66</v>
      </c>
      <c r="AV52" s="149">
        <v>67</v>
      </c>
      <c r="AW52" s="149">
        <v>68</v>
      </c>
      <c r="AX52" s="149">
        <v>69</v>
      </c>
      <c r="AY52" s="149">
        <v>70</v>
      </c>
      <c r="AZ52" s="149">
        <v>71</v>
      </c>
      <c r="BA52" s="149">
        <v>72</v>
      </c>
      <c r="BB52" s="149">
        <v>73</v>
      </c>
      <c r="BC52" s="149">
        <v>74</v>
      </c>
      <c r="BD52" s="149">
        <v>75</v>
      </c>
      <c r="BE52" s="149">
        <v>76</v>
      </c>
      <c r="BF52" s="149">
        <v>77</v>
      </c>
      <c r="BG52" s="149">
        <v>78</v>
      </c>
      <c r="BH52" s="149">
        <v>79</v>
      </c>
      <c r="BI52" s="149">
        <v>80</v>
      </c>
      <c r="BJ52" s="149">
        <v>81</v>
      </c>
      <c r="BK52" s="149">
        <v>82</v>
      </c>
      <c r="BL52" s="149">
        <v>83</v>
      </c>
      <c r="BM52" s="149">
        <v>84</v>
      </c>
      <c r="BN52" s="149">
        <v>85</v>
      </c>
      <c r="BO52" s="149">
        <v>86</v>
      </c>
      <c r="BP52" s="149">
        <v>87</v>
      </c>
      <c r="BQ52" s="149">
        <v>88</v>
      </c>
      <c r="BR52" s="149">
        <v>89</v>
      </c>
      <c r="BS52" s="149">
        <v>90</v>
      </c>
      <c r="BT52" s="149">
        <v>91</v>
      </c>
      <c r="BU52" s="149">
        <v>92</v>
      </c>
      <c r="BV52" s="149">
        <v>93</v>
      </c>
      <c r="BW52" s="149">
        <v>94</v>
      </c>
      <c r="BX52" s="149">
        <v>95</v>
      </c>
      <c r="BY52" s="149">
        <v>96</v>
      </c>
      <c r="BZ52" s="149">
        <v>97</v>
      </c>
      <c r="CA52" s="149">
        <v>98</v>
      </c>
      <c r="CB52" s="149">
        <v>99</v>
      </c>
      <c r="CC52" s="149">
        <v>100</v>
      </c>
      <c r="CD52" s="149">
        <v>101</v>
      </c>
      <c r="CE52" s="149">
        <v>102</v>
      </c>
      <c r="CF52" s="149">
        <v>103</v>
      </c>
      <c r="CG52" s="149">
        <v>104</v>
      </c>
      <c r="CH52" s="149">
        <v>105</v>
      </c>
      <c r="CI52" s="149">
        <v>106</v>
      </c>
    </row>
    <row r="53" spans="1:87" ht="16.5" customHeight="1" x14ac:dyDescent="0.4">
      <c r="A53" s="24" t="s">
        <v>202</v>
      </c>
      <c r="B53" s="39" t="e">
        <f>C47</f>
        <v>#REF!</v>
      </c>
      <c r="C53" s="39" t="e">
        <f t="shared" ref="C53:CG53" si="15">B57</f>
        <v>#REF!</v>
      </c>
      <c r="D53" s="39" t="e">
        <f t="shared" si="15"/>
        <v>#REF!</v>
      </c>
      <c r="E53" s="39" t="e">
        <f t="shared" si="15"/>
        <v>#REF!</v>
      </c>
      <c r="F53" s="39" t="e">
        <f t="shared" si="15"/>
        <v>#REF!</v>
      </c>
      <c r="G53" s="39" t="e">
        <f t="shared" si="15"/>
        <v>#REF!</v>
      </c>
      <c r="H53" s="39" t="e">
        <f t="shared" si="15"/>
        <v>#REF!</v>
      </c>
      <c r="I53" s="39" t="e">
        <f t="shared" si="15"/>
        <v>#REF!</v>
      </c>
      <c r="J53" s="39" t="e">
        <f t="shared" si="15"/>
        <v>#REF!</v>
      </c>
      <c r="K53" s="39" t="e">
        <f t="shared" si="15"/>
        <v>#REF!</v>
      </c>
      <c r="L53" s="39" t="e">
        <f t="shared" si="15"/>
        <v>#REF!</v>
      </c>
      <c r="M53" s="39" t="e">
        <f t="shared" si="15"/>
        <v>#REF!</v>
      </c>
      <c r="N53" s="39" t="e">
        <f t="shared" si="15"/>
        <v>#REF!</v>
      </c>
      <c r="O53" s="39" t="e">
        <f t="shared" si="15"/>
        <v>#REF!</v>
      </c>
      <c r="P53" s="39" t="e">
        <f t="shared" si="15"/>
        <v>#REF!</v>
      </c>
      <c r="Q53" s="39" t="e">
        <f t="shared" si="15"/>
        <v>#REF!</v>
      </c>
      <c r="R53" s="39" t="e">
        <f t="shared" si="15"/>
        <v>#REF!</v>
      </c>
      <c r="S53" s="39" t="e">
        <f t="shared" si="15"/>
        <v>#REF!</v>
      </c>
      <c r="T53" s="39" t="e">
        <f t="shared" si="15"/>
        <v>#REF!</v>
      </c>
      <c r="U53" s="39" t="e">
        <f t="shared" si="15"/>
        <v>#REF!</v>
      </c>
      <c r="V53" s="39" t="e">
        <f t="shared" si="15"/>
        <v>#REF!</v>
      </c>
      <c r="W53" s="39" t="e">
        <f t="shared" si="15"/>
        <v>#REF!</v>
      </c>
      <c r="X53" s="39" t="e">
        <f t="shared" si="15"/>
        <v>#REF!</v>
      </c>
      <c r="Y53" s="39" t="e">
        <f t="shared" si="15"/>
        <v>#REF!</v>
      </c>
      <c r="Z53" s="39" t="e">
        <f t="shared" si="15"/>
        <v>#REF!</v>
      </c>
      <c r="AA53" s="39" t="e">
        <f t="shared" si="15"/>
        <v>#REF!</v>
      </c>
      <c r="AB53" s="39" t="e">
        <f t="shared" si="15"/>
        <v>#REF!</v>
      </c>
      <c r="AC53" s="39" t="e">
        <f t="shared" si="15"/>
        <v>#REF!</v>
      </c>
      <c r="AD53" s="39" t="e">
        <f t="shared" si="15"/>
        <v>#REF!</v>
      </c>
      <c r="AE53" s="39" t="e">
        <f t="shared" si="15"/>
        <v>#REF!</v>
      </c>
      <c r="AF53" s="39" t="e">
        <f t="shared" si="15"/>
        <v>#REF!</v>
      </c>
      <c r="AG53" s="39" t="e">
        <f t="shared" si="15"/>
        <v>#REF!</v>
      </c>
      <c r="AH53" s="39" t="e">
        <f t="shared" si="15"/>
        <v>#REF!</v>
      </c>
      <c r="AI53" s="39" t="e">
        <f t="shared" si="15"/>
        <v>#REF!</v>
      </c>
      <c r="AJ53" s="39" t="e">
        <f t="shared" si="15"/>
        <v>#REF!</v>
      </c>
      <c r="AK53" s="39" t="e">
        <f t="shared" si="15"/>
        <v>#REF!</v>
      </c>
      <c r="AL53" s="39" t="e">
        <f t="shared" si="15"/>
        <v>#REF!</v>
      </c>
      <c r="AM53" s="39" t="e">
        <f t="shared" si="15"/>
        <v>#REF!</v>
      </c>
      <c r="AN53" s="39" t="e">
        <f t="shared" si="15"/>
        <v>#REF!</v>
      </c>
      <c r="AO53" s="39" t="e">
        <f t="shared" si="15"/>
        <v>#REF!</v>
      </c>
      <c r="AP53" s="39" t="e">
        <f t="shared" si="15"/>
        <v>#REF!</v>
      </c>
      <c r="AQ53" s="39" t="e">
        <f t="shared" si="15"/>
        <v>#REF!</v>
      </c>
      <c r="AR53" s="39" t="e">
        <f t="shared" si="15"/>
        <v>#REF!</v>
      </c>
      <c r="AS53" s="39" t="e">
        <f t="shared" si="15"/>
        <v>#REF!</v>
      </c>
      <c r="AT53" s="39" t="e">
        <f t="shared" si="15"/>
        <v>#REF!</v>
      </c>
      <c r="AU53" s="39" t="e">
        <f t="shared" si="15"/>
        <v>#REF!</v>
      </c>
      <c r="AV53" s="39" t="e">
        <f t="shared" si="15"/>
        <v>#REF!</v>
      </c>
      <c r="AW53" s="39" t="e">
        <f t="shared" si="15"/>
        <v>#REF!</v>
      </c>
      <c r="AX53" s="39" t="e">
        <f t="shared" si="15"/>
        <v>#REF!</v>
      </c>
      <c r="AY53" s="39" t="e">
        <f t="shared" si="15"/>
        <v>#REF!</v>
      </c>
      <c r="AZ53" s="39" t="e">
        <f t="shared" si="15"/>
        <v>#REF!</v>
      </c>
      <c r="BA53" s="39" t="e">
        <f t="shared" si="15"/>
        <v>#REF!</v>
      </c>
      <c r="BB53" s="39" t="e">
        <f t="shared" si="15"/>
        <v>#REF!</v>
      </c>
      <c r="BC53" s="39" t="e">
        <f t="shared" si="15"/>
        <v>#REF!</v>
      </c>
      <c r="BD53" s="39" t="e">
        <f t="shared" si="15"/>
        <v>#REF!</v>
      </c>
      <c r="BE53" s="39" t="e">
        <f t="shared" si="15"/>
        <v>#REF!</v>
      </c>
      <c r="BF53" s="39" t="e">
        <f t="shared" si="15"/>
        <v>#REF!</v>
      </c>
      <c r="BG53" s="39" t="e">
        <f t="shared" si="15"/>
        <v>#REF!</v>
      </c>
      <c r="BH53" s="39" t="e">
        <f t="shared" si="15"/>
        <v>#REF!</v>
      </c>
      <c r="BI53" s="39" t="e">
        <f t="shared" si="15"/>
        <v>#REF!</v>
      </c>
      <c r="BJ53" s="39" t="e">
        <f t="shared" si="15"/>
        <v>#REF!</v>
      </c>
      <c r="BK53" s="39" t="e">
        <f t="shared" si="15"/>
        <v>#REF!</v>
      </c>
      <c r="BL53" s="39" t="e">
        <f t="shared" si="15"/>
        <v>#REF!</v>
      </c>
      <c r="BM53" s="39" t="e">
        <f t="shared" si="15"/>
        <v>#REF!</v>
      </c>
      <c r="BN53" s="39" t="e">
        <f t="shared" si="15"/>
        <v>#REF!</v>
      </c>
      <c r="BO53" s="39" t="e">
        <f t="shared" si="15"/>
        <v>#REF!</v>
      </c>
      <c r="BP53" s="39" t="e">
        <f t="shared" si="15"/>
        <v>#REF!</v>
      </c>
      <c r="BQ53" s="39" t="e">
        <f t="shared" si="15"/>
        <v>#REF!</v>
      </c>
      <c r="BR53" s="39" t="e">
        <f t="shared" si="15"/>
        <v>#REF!</v>
      </c>
      <c r="BS53" s="39" t="e">
        <f t="shared" si="15"/>
        <v>#REF!</v>
      </c>
      <c r="BT53" s="39" t="e">
        <f t="shared" si="15"/>
        <v>#REF!</v>
      </c>
      <c r="BU53" s="39" t="e">
        <f t="shared" si="15"/>
        <v>#REF!</v>
      </c>
      <c r="BV53" s="39" t="e">
        <f t="shared" si="15"/>
        <v>#REF!</v>
      </c>
      <c r="BW53" s="39" t="e">
        <f t="shared" si="15"/>
        <v>#REF!</v>
      </c>
      <c r="BX53" s="39" t="e">
        <f t="shared" si="15"/>
        <v>#REF!</v>
      </c>
      <c r="BY53" s="39" t="e">
        <f t="shared" si="15"/>
        <v>#REF!</v>
      </c>
      <c r="BZ53" s="39" t="e">
        <f t="shared" si="15"/>
        <v>#REF!</v>
      </c>
      <c r="CA53" s="39" t="e">
        <f t="shared" si="15"/>
        <v>#REF!</v>
      </c>
      <c r="CB53" s="39" t="e">
        <f t="shared" si="15"/>
        <v>#REF!</v>
      </c>
      <c r="CC53" s="39" t="e">
        <f t="shared" si="15"/>
        <v>#REF!</v>
      </c>
      <c r="CD53" s="39" t="e">
        <f t="shared" si="15"/>
        <v>#REF!</v>
      </c>
      <c r="CE53" s="39" t="e">
        <f t="shared" si="15"/>
        <v>#REF!</v>
      </c>
      <c r="CF53" s="39" t="e">
        <f t="shared" si="15"/>
        <v>#REF!</v>
      </c>
      <c r="CG53" s="39" t="e">
        <f t="shared" si="15"/>
        <v>#REF!</v>
      </c>
    </row>
    <row r="54" spans="1:87" ht="14.25" customHeight="1" x14ac:dyDescent="0.4">
      <c r="A54" s="24" t="s">
        <v>203</v>
      </c>
      <c r="B54" s="39" t="e">
        <f t="shared" ref="B54:CG54" si="16">$F$50</f>
        <v>#REF!</v>
      </c>
      <c r="C54" s="39" t="e">
        <f t="shared" si="16"/>
        <v>#REF!</v>
      </c>
      <c r="D54" s="39" t="e">
        <f t="shared" si="16"/>
        <v>#REF!</v>
      </c>
      <c r="E54" s="39" t="e">
        <f t="shared" si="16"/>
        <v>#REF!</v>
      </c>
      <c r="F54" s="39" t="e">
        <f t="shared" si="16"/>
        <v>#REF!</v>
      </c>
      <c r="G54" s="39" t="e">
        <f t="shared" si="16"/>
        <v>#REF!</v>
      </c>
      <c r="H54" s="39" t="e">
        <f t="shared" si="16"/>
        <v>#REF!</v>
      </c>
      <c r="I54" s="39" t="e">
        <f t="shared" si="16"/>
        <v>#REF!</v>
      </c>
      <c r="J54" s="39" t="e">
        <f t="shared" si="16"/>
        <v>#REF!</v>
      </c>
      <c r="K54" s="39" t="e">
        <f t="shared" si="16"/>
        <v>#REF!</v>
      </c>
      <c r="L54" s="39" t="e">
        <f t="shared" si="16"/>
        <v>#REF!</v>
      </c>
      <c r="M54" s="39" t="e">
        <f t="shared" si="16"/>
        <v>#REF!</v>
      </c>
      <c r="N54" s="39" t="e">
        <f t="shared" si="16"/>
        <v>#REF!</v>
      </c>
      <c r="O54" s="39" t="e">
        <f t="shared" si="16"/>
        <v>#REF!</v>
      </c>
      <c r="P54" s="39" t="e">
        <f t="shared" si="16"/>
        <v>#REF!</v>
      </c>
      <c r="Q54" s="39" t="e">
        <f t="shared" si="16"/>
        <v>#REF!</v>
      </c>
      <c r="R54" s="39" t="e">
        <f t="shared" si="16"/>
        <v>#REF!</v>
      </c>
      <c r="S54" s="39" t="e">
        <f t="shared" si="16"/>
        <v>#REF!</v>
      </c>
      <c r="T54" s="39" t="e">
        <f t="shared" si="16"/>
        <v>#REF!</v>
      </c>
      <c r="U54" s="39" t="e">
        <f t="shared" si="16"/>
        <v>#REF!</v>
      </c>
      <c r="V54" s="39" t="e">
        <f t="shared" si="16"/>
        <v>#REF!</v>
      </c>
      <c r="W54" s="39" t="e">
        <f t="shared" si="16"/>
        <v>#REF!</v>
      </c>
      <c r="X54" s="39" t="e">
        <f t="shared" si="16"/>
        <v>#REF!</v>
      </c>
      <c r="Y54" s="39" t="e">
        <f t="shared" si="16"/>
        <v>#REF!</v>
      </c>
      <c r="Z54" s="39" t="e">
        <f t="shared" si="16"/>
        <v>#REF!</v>
      </c>
      <c r="AA54" s="39" t="e">
        <f t="shared" si="16"/>
        <v>#REF!</v>
      </c>
      <c r="AB54" s="39" t="e">
        <f t="shared" si="16"/>
        <v>#REF!</v>
      </c>
      <c r="AC54" s="39" t="e">
        <f t="shared" si="16"/>
        <v>#REF!</v>
      </c>
      <c r="AD54" s="39" t="e">
        <f t="shared" si="16"/>
        <v>#REF!</v>
      </c>
      <c r="AE54" s="39" t="e">
        <f t="shared" si="16"/>
        <v>#REF!</v>
      </c>
      <c r="AF54" s="39" t="e">
        <f t="shared" si="16"/>
        <v>#REF!</v>
      </c>
      <c r="AG54" s="39" t="e">
        <f t="shared" si="16"/>
        <v>#REF!</v>
      </c>
      <c r="AH54" s="39" t="e">
        <f t="shared" si="16"/>
        <v>#REF!</v>
      </c>
      <c r="AI54" s="39" t="e">
        <f t="shared" si="16"/>
        <v>#REF!</v>
      </c>
      <c r="AJ54" s="39" t="e">
        <f t="shared" si="16"/>
        <v>#REF!</v>
      </c>
      <c r="AK54" s="39" t="e">
        <f t="shared" si="16"/>
        <v>#REF!</v>
      </c>
      <c r="AL54" s="39" t="e">
        <f t="shared" si="16"/>
        <v>#REF!</v>
      </c>
      <c r="AM54" s="39" t="e">
        <f t="shared" si="16"/>
        <v>#REF!</v>
      </c>
      <c r="AN54" s="39" t="e">
        <f t="shared" si="16"/>
        <v>#REF!</v>
      </c>
      <c r="AO54" s="39" t="e">
        <f t="shared" si="16"/>
        <v>#REF!</v>
      </c>
      <c r="AP54" s="39" t="e">
        <f t="shared" si="16"/>
        <v>#REF!</v>
      </c>
      <c r="AQ54" s="39" t="e">
        <f t="shared" si="16"/>
        <v>#REF!</v>
      </c>
      <c r="AR54" s="39" t="e">
        <f t="shared" si="16"/>
        <v>#REF!</v>
      </c>
      <c r="AS54" s="39" t="e">
        <f t="shared" si="16"/>
        <v>#REF!</v>
      </c>
      <c r="AT54" s="39" t="e">
        <f t="shared" si="16"/>
        <v>#REF!</v>
      </c>
      <c r="AU54" s="39" t="e">
        <f t="shared" si="16"/>
        <v>#REF!</v>
      </c>
      <c r="AV54" s="39" t="e">
        <f t="shared" si="16"/>
        <v>#REF!</v>
      </c>
      <c r="AW54" s="39" t="e">
        <f t="shared" si="16"/>
        <v>#REF!</v>
      </c>
      <c r="AX54" s="39" t="e">
        <f t="shared" si="16"/>
        <v>#REF!</v>
      </c>
      <c r="AY54" s="39" t="e">
        <f t="shared" si="16"/>
        <v>#REF!</v>
      </c>
      <c r="AZ54" s="39" t="e">
        <f t="shared" si="16"/>
        <v>#REF!</v>
      </c>
      <c r="BA54" s="39" t="e">
        <f t="shared" si="16"/>
        <v>#REF!</v>
      </c>
      <c r="BB54" s="39" t="e">
        <f t="shared" si="16"/>
        <v>#REF!</v>
      </c>
      <c r="BC54" s="39" t="e">
        <f t="shared" si="16"/>
        <v>#REF!</v>
      </c>
      <c r="BD54" s="39" t="e">
        <f t="shared" si="16"/>
        <v>#REF!</v>
      </c>
      <c r="BE54" s="39" t="e">
        <f t="shared" si="16"/>
        <v>#REF!</v>
      </c>
      <c r="BF54" s="39" t="e">
        <f t="shared" si="16"/>
        <v>#REF!</v>
      </c>
      <c r="BG54" s="39" t="e">
        <f t="shared" si="16"/>
        <v>#REF!</v>
      </c>
      <c r="BH54" s="39" t="e">
        <f t="shared" si="16"/>
        <v>#REF!</v>
      </c>
      <c r="BI54" s="39" t="e">
        <f t="shared" si="16"/>
        <v>#REF!</v>
      </c>
      <c r="BJ54" s="39" t="e">
        <f t="shared" si="16"/>
        <v>#REF!</v>
      </c>
      <c r="BK54" s="39" t="e">
        <f t="shared" si="16"/>
        <v>#REF!</v>
      </c>
      <c r="BL54" s="39" t="e">
        <f t="shared" si="16"/>
        <v>#REF!</v>
      </c>
      <c r="BM54" s="39" t="e">
        <f t="shared" si="16"/>
        <v>#REF!</v>
      </c>
      <c r="BN54" s="39" t="e">
        <f t="shared" si="16"/>
        <v>#REF!</v>
      </c>
      <c r="BO54" s="39" t="e">
        <f t="shared" si="16"/>
        <v>#REF!</v>
      </c>
      <c r="BP54" s="39" t="e">
        <f t="shared" si="16"/>
        <v>#REF!</v>
      </c>
      <c r="BQ54" s="39" t="e">
        <f t="shared" si="16"/>
        <v>#REF!</v>
      </c>
      <c r="BR54" s="39" t="e">
        <f t="shared" si="16"/>
        <v>#REF!</v>
      </c>
      <c r="BS54" s="39" t="e">
        <f t="shared" si="16"/>
        <v>#REF!</v>
      </c>
      <c r="BT54" s="39" t="e">
        <f t="shared" si="16"/>
        <v>#REF!</v>
      </c>
      <c r="BU54" s="39" t="e">
        <f t="shared" si="16"/>
        <v>#REF!</v>
      </c>
      <c r="BV54" s="39" t="e">
        <f t="shared" si="16"/>
        <v>#REF!</v>
      </c>
      <c r="BW54" s="39" t="e">
        <f t="shared" si="16"/>
        <v>#REF!</v>
      </c>
      <c r="BX54" s="39" t="e">
        <f t="shared" si="16"/>
        <v>#REF!</v>
      </c>
      <c r="BY54" s="39" t="e">
        <f t="shared" si="16"/>
        <v>#REF!</v>
      </c>
      <c r="BZ54" s="39" t="e">
        <f t="shared" si="16"/>
        <v>#REF!</v>
      </c>
      <c r="CA54" s="39" t="e">
        <f t="shared" si="16"/>
        <v>#REF!</v>
      </c>
      <c r="CB54" s="39" t="e">
        <f t="shared" si="16"/>
        <v>#REF!</v>
      </c>
      <c r="CC54" s="39" t="e">
        <f t="shared" si="16"/>
        <v>#REF!</v>
      </c>
      <c r="CD54" s="39" t="e">
        <f t="shared" si="16"/>
        <v>#REF!</v>
      </c>
      <c r="CE54" s="39" t="e">
        <f t="shared" si="16"/>
        <v>#REF!</v>
      </c>
      <c r="CF54" s="39" t="e">
        <f t="shared" si="16"/>
        <v>#REF!</v>
      </c>
      <c r="CG54" s="39" t="e">
        <f t="shared" si="16"/>
        <v>#REF!</v>
      </c>
    </row>
    <row r="55" spans="1:87" ht="14.25" customHeight="1" x14ac:dyDescent="0.4">
      <c r="A55" s="24" t="s">
        <v>204</v>
      </c>
      <c r="B55" s="39" t="e">
        <f>-B53*$F$49</f>
        <v>#REF!</v>
      </c>
      <c r="C55" s="39" t="e">
        <f t="shared" ref="C55:CG55" si="17">-C53*$F$7</f>
        <v>#REF!</v>
      </c>
      <c r="D55" s="39" t="e">
        <f t="shared" si="17"/>
        <v>#REF!</v>
      </c>
      <c r="E55" s="39" t="e">
        <f t="shared" si="17"/>
        <v>#REF!</v>
      </c>
      <c r="F55" s="39" t="e">
        <f t="shared" si="17"/>
        <v>#REF!</v>
      </c>
      <c r="G55" s="39" t="e">
        <f t="shared" si="17"/>
        <v>#REF!</v>
      </c>
      <c r="H55" s="39" t="e">
        <f t="shared" si="17"/>
        <v>#REF!</v>
      </c>
      <c r="I55" s="39" t="e">
        <f t="shared" si="17"/>
        <v>#REF!</v>
      </c>
      <c r="J55" s="39" t="e">
        <f t="shared" si="17"/>
        <v>#REF!</v>
      </c>
      <c r="K55" s="39" t="e">
        <f t="shared" si="17"/>
        <v>#REF!</v>
      </c>
      <c r="L55" s="39" t="e">
        <f t="shared" si="17"/>
        <v>#REF!</v>
      </c>
      <c r="M55" s="39" t="e">
        <f t="shared" si="17"/>
        <v>#REF!</v>
      </c>
      <c r="N55" s="39" t="e">
        <f t="shared" si="17"/>
        <v>#REF!</v>
      </c>
      <c r="O55" s="39" t="e">
        <f t="shared" si="17"/>
        <v>#REF!</v>
      </c>
      <c r="P55" s="39" t="e">
        <f t="shared" si="17"/>
        <v>#REF!</v>
      </c>
      <c r="Q55" s="39" t="e">
        <f t="shared" si="17"/>
        <v>#REF!</v>
      </c>
      <c r="R55" s="39" t="e">
        <f t="shared" si="17"/>
        <v>#REF!</v>
      </c>
      <c r="S55" s="39" t="e">
        <f t="shared" si="17"/>
        <v>#REF!</v>
      </c>
      <c r="T55" s="39" t="e">
        <f t="shared" si="17"/>
        <v>#REF!</v>
      </c>
      <c r="U55" s="39" t="e">
        <f t="shared" si="17"/>
        <v>#REF!</v>
      </c>
      <c r="V55" s="39" t="e">
        <f t="shared" si="17"/>
        <v>#REF!</v>
      </c>
      <c r="W55" s="39" t="e">
        <f t="shared" si="17"/>
        <v>#REF!</v>
      </c>
      <c r="X55" s="39" t="e">
        <f t="shared" si="17"/>
        <v>#REF!</v>
      </c>
      <c r="Y55" s="39" t="e">
        <f t="shared" si="17"/>
        <v>#REF!</v>
      </c>
      <c r="Z55" s="39" t="e">
        <f t="shared" si="17"/>
        <v>#REF!</v>
      </c>
      <c r="AA55" s="39" t="e">
        <f t="shared" si="17"/>
        <v>#REF!</v>
      </c>
      <c r="AB55" s="39" t="e">
        <f t="shared" si="17"/>
        <v>#REF!</v>
      </c>
      <c r="AC55" s="39" t="e">
        <f t="shared" si="17"/>
        <v>#REF!</v>
      </c>
      <c r="AD55" s="39" t="e">
        <f t="shared" si="17"/>
        <v>#REF!</v>
      </c>
      <c r="AE55" s="39" t="e">
        <f t="shared" si="17"/>
        <v>#REF!</v>
      </c>
      <c r="AF55" s="39" t="e">
        <f t="shared" si="17"/>
        <v>#REF!</v>
      </c>
      <c r="AG55" s="39" t="e">
        <f t="shared" si="17"/>
        <v>#REF!</v>
      </c>
      <c r="AH55" s="39" t="e">
        <f t="shared" si="17"/>
        <v>#REF!</v>
      </c>
      <c r="AI55" s="39" t="e">
        <f t="shared" si="17"/>
        <v>#REF!</v>
      </c>
      <c r="AJ55" s="39" t="e">
        <f t="shared" si="17"/>
        <v>#REF!</v>
      </c>
      <c r="AK55" s="39" t="e">
        <f t="shared" si="17"/>
        <v>#REF!</v>
      </c>
      <c r="AL55" s="39" t="e">
        <f t="shared" si="17"/>
        <v>#REF!</v>
      </c>
      <c r="AM55" s="39" t="e">
        <f t="shared" si="17"/>
        <v>#REF!</v>
      </c>
      <c r="AN55" s="39" t="e">
        <f t="shared" si="17"/>
        <v>#REF!</v>
      </c>
      <c r="AO55" s="39" t="e">
        <f t="shared" si="17"/>
        <v>#REF!</v>
      </c>
      <c r="AP55" s="39" t="e">
        <f t="shared" si="17"/>
        <v>#REF!</v>
      </c>
      <c r="AQ55" s="39" t="e">
        <f t="shared" si="17"/>
        <v>#REF!</v>
      </c>
      <c r="AR55" s="39" t="e">
        <f t="shared" si="17"/>
        <v>#REF!</v>
      </c>
      <c r="AS55" s="39" t="e">
        <f t="shared" si="17"/>
        <v>#REF!</v>
      </c>
      <c r="AT55" s="39" t="e">
        <f t="shared" si="17"/>
        <v>#REF!</v>
      </c>
      <c r="AU55" s="39" t="e">
        <f t="shared" si="17"/>
        <v>#REF!</v>
      </c>
      <c r="AV55" s="39" t="e">
        <f t="shared" si="17"/>
        <v>#REF!</v>
      </c>
      <c r="AW55" s="39" t="e">
        <f t="shared" si="17"/>
        <v>#REF!</v>
      </c>
      <c r="AX55" s="39" t="e">
        <f t="shared" si="17"/>
        <v>#REF!</v>
      </c>
      <c r="AY55" s="39" t="e">
        <f t="shared" si="17"/>
        <v>#REF!</v>
      </c>
      <c r="AZ55" s="39" t="e">
        <f t="shared" si="17"/>
        <v>#REF!</v>
      </c>
      <c r="BA55" s="39" t="e">
        <f t="shared" si="17"/>
        <v>#REF!</v>
      </c>
      <c r="BB55" s="39" t="e">
        <f t="shared" si="17"/>
        <v>#REF!</v>
      </c>
      <c r="BC55" s="39" t="e">
        <f t="shared" si="17"/>
        <v>#REF!</v>
      </c>
      <c r="BD55" s="39" t="e">
        <f t="shared" si="17"/>
        <v>#REF!</v>
      </c>
      <c r="BE55" s="39" t="e">
        <f t="shared" si="17"/>
        <v>#REF!</v>
      </c>
      <c r="BF55" s="39" t="e">
        <f t="shared" si="17"/>
        <v>#REF!</v>
      </c>
      <c r="BG55" s="39" t="e">
        <f t="shared" si="17"/>
        <v>#REF!</v>
      </c>
      <c r="BH55" s="39" t="e">
        <f t="shared" si="17"/>
        <v>#REF!</v>
      </c>
      <c r="BI55" s="39" t="e">
        <f t="shared" si="17"/>
        <v>#REF!</v>
      </c>
      <c r="BJ55" s="39" t="e">
        <f t="shared" si="17"/>
        <v>#REF!</v>
      </c>
      <c r="BK55" s="39" t="e">
        <f t="shared" si="17"/>
        <v>#REF!</v>
      </c>
      <c r="BL55" s="39" t="e">
        <f t="shared" si="17"/>
        <v>#REF!</v>
      </c>
      <c r="BM55" s="39" t="e">
        <f t="shared" si="17"/>
        <v>#REF!</v>
      </c>
      <c r="BN55" s="39" t="e">
        <f t="shared" si="17"/>
        <v>#REF!</v>
      </c>
      <c r="BO55" s="39" t="e">
        <f t="shared" si="17"/>
        <v>#REF!</v>
      </c>
      <c r="BP55" s="39" t="e">
        <f t="shared" si="17"/>
        <v>#REF!</v>
      </c>
      <c r="BQ55" s="39" t="e">
        <f t="shared" si="17"/>
        <v>#REF!</v>
      </c>
      <c r="BR55" s="39" t="e">
        <f t="shared" si="17"/>
        <v>#REF!</v>
      </c>
      <c r="BS55" s="39" t="e">
        <f t="shared" si="17"/>
        <v>#REF!</v>
      </c>
      <c r="BT55" s="39" t="e">
        <f t="shared" si="17"/>
        <v>#REF!</v>
      </c>
      <c r="BU55" s="39" t="e">
        <f t="shared" si="17"/>
        <v>#REF!</v>
      </c>
      <c r="BV55" s="39" t="e">
        <f t="shared" si="17"/>
        <v>#REF!</v>
      </c>
      <c r="BW55" s="39" t="e">
        <f t="shared" si="17"/>
        <v>#REF!</v>
      </c>
      <c r="BX55" s="39" t="e">
        <f t="shared" si="17"/>
        <v>#REF!</v>
      </c>
      <c r="BY55" s="39" t="e">
        <f t="shared" si="17"/>
        <v>#REF!</v>
      </c>
      <c r="BZ55" s="39" t="e">
        <f t="shared" si="17"/>
        <v>#REF!</v>
      </c>
      <c r="CA55" s="39" t="e">
        <f t="shared" si="17"/>
        <v>#REF!</v>
      </c>
      <c r="CB55" s="39" t="e">
        <f t="shared" si="17"/>
        <v>#REF!</v>
      </c>
      <c r="CC55" s="39" t="e">
        <f t="shared" si="17"/>
        <v>#REF!</v>
      </c>
      <c r="CD55" s="39" t="e">
        <f t="shared" si="17"/>
        <v>#REF!</v>
      </c>
      <c r="CE55" s="39" t="e">
        <f t="shared" si="17"/>
        <v>#REF!</v>
      </c>
      <c r="CF55" s="39" t="e">
        <f t="shared" si="17"/>
        <v>#REF!</v>
      </c>
      <c r="CG55" s="39" t="e">
        <f t="shared" si="17"/>
        <v>#REF!</v>
      </c>
    </row>
    <row r="56" spans="1:87" ht="14.25" customHeight="1" x14ac:dyDescent="0.4">
      <c r="A56" s="24" t="s">
        <v>205</v>
      </c>
      <c r="B56" s="39" t="e">
        <f t="shared" ref="B56:CG56" si="18">B54+B55</f>
        <v>#REF!</v>
      </c>
      <c r="C56" s="39" t="e">
        <f t="shared" si="18"/>
        <v>#REF!</v>
      </c>
      <c r="D56" s="39" t="e">
        <f t="shared" si="18"/>
        <v>#REF!</v>
      </c>
      <c r="E56" s="39" t="e">
        <f t="shared" si="18"/>
        <v>#REF!</v>
      </c>
      <c r="F56" s="39" t="e">
        <f t="shared" si="18"/>
        <v>#REF!</v>
      </c>
      <c r="G56" s="39" t="e">
        <f t="shared" si="18"/>
        <v>#REF!</v>
      </c>
      <c r="H56" s="39" t="e">
        <f t="shared" si="18"/>
        <v>#REF!</v>
      </c>
      <c r="I56" s="39" t="e">
        <f t="shared" si="18"/>
        <v>#REF!</v>
      </c>
      <c r="J56" s="39" t="e">
        <f t="shared" si="18"/>
        <v>#REF!</v>
      </c>
      <c r="K56" s="39" t="e">
        <f t="shared" si="18"/>
        <v>#REF!</v>
      </c>
      <c r="L56" s="39" t="e">
        <f t="shared" si="18"/>
        <v>#REF!</v>
      </c>
      <c r="M56" s="39" t="e">
        <f t="shared" si="18"/>
        <v>#REF!</v>
      </c>
      <c r="N56" s="39" t="e">
        <f t="shared" si="18"/>
        <v>#REF!</v>
      </c>
      <c r="O56" s="39" t="e">
        <f t="shared" si="18"/>
        <v>#REF!</v>
      </c>
      <c r="P56" s="39" t="e">
        <f t="shared" si="18"/>
        <v>#REF!</v>
      </c>
      <c r="Q56" s="39" t="e">
        <f t="shared" si="18"/>
        <v>#REF!</v>
      </c>
      <c r="R56" s="39" t="e">
        <f t="shared" si="18"/>
        <v>#REF!</v>
      </c>
      <c r="S56" s="39" t="e">
        <f t="shared" si="18"/>
        <v>#REF!</v>
      </c>
      <c r="T56" s="39" t="e">
        <f t="shared" si="18"/>
        <v>#REF!</v>
      </c>
      <c r="U56" s="39" t="e">
        <f t="shared" si="18"/>
        <v>#REF!</v>
      </c>
      <c r="V56" s="39" t="e">
        <f t="shared" si="18"/>
        <v>#REF!</v>
      </c>
      <c r="W56" s="39" t="e">
        <f t="shared" si="18"/>
        <v>#REF!</v>
      </c>
      <c r="X56" s="39" t="e">
        <f t="shared" si="18"/>
        <v>#REF!</v>
      </c>
      <c r="Y56" s="39" t="e">
        <f t="shared" si="18"/>
        <v>#REF!</v>
      </c>
      <c r="Z56" s="39" t="e">
        <f t="shared" si="18"/>
        <v>#REF!</v>
      </c>
      <c r="AA56" s="39" t="e">
        <f t="shared" si="18"/>
        <v>#REF!</v>
      </c>
      <c r="AB56" s="39" t="e">
        <f t="shared" si="18"/>
        <v>#REF!</v>
      </c>
      <c r="AC56" s="39" t="e">
        <f t="shared" si="18"/>
        <v>#REF!</v>
      </c>
      <c r="AD56" s="39" t="e">
        <f t="shared" si="18"/>
        <v>#REF!</v>
      </c>
      <c r="AE56" s="39" t="e">
        <f t="shared" si="18"/>
        <v>#REF!</v>
      </c>
      <c r="AF56" s="39" t="e">
        <f t="shared" si="18"/>
        <v>#REF!</v>
      </c>
      <c r="AG56" s="39" t="e">
        <f t="shared" si="18"/>
        <v>#REF!</v>
      </c>
      <c r="AH56" s="39" t="e">
        <f t="shared" si="18"/>
        <v>#REF!</v>
      </c>
      <c r="AI56" s="39" t="e">
        <f t="shared" si="18"/>
        <v>#REF!</v>
      </c>
      <c r="AJ56" s="39" t="e">
        <f t="shared" si="18"/>
        <v>#REF!</v>
      </c>
      <c r="AK56" s="39" t="e">
        <f t="shared" si="18"/>
        <v>#REF!</v>
      </c>
      <c r="AL56" s="39" t="e">
        <f t="shared" si="18"/>
        <v>#REF!</v>
      </c>
      <c r="AM56" s="39" t="e">
        <f t="shared" si="18"/>
        <v>#REF!</v>
      </c>
      <c r="AN56" s="39" t="e">
        <f t="shared" si="18"/>
        <v>#REF!</v>
      </c>
      <c r="AO56" s="39" t="e">
        <f t="shared" si="18"/>
        <v>#REF!</v>
      </c>
      <c r="AP56" s="39" t="e">
        <f t="shared" si="18"/>
        <v>#REF!</v>
      </c>
      <c r="AQ56" s="39" t="e">
        <f t="shared" si="18"/>
        <v>#REF!</v>
      </c>
      <c r="AR56" s="39" t="e">
        <f t="shared" si="18"/>
        <v>#REF!</v>
      </c>
      <c r="AS56" s="39" t="e">
        <f t="shared" si="18"/>
        <v>#REF!</v>
      </c>
      <c r="AT56" s="39" t="e">
        <f t="shared" si="18"/>
        <v>#REF!</v>
      </c>
      <c r="AU56" s="39" t="e">
        <f t="shared" si="18"/>
        <v>#REF!</v>
      </c>
      <c r="AV56" s="39" t="e">
        <f t="shared" si="18"/>
        <v>#REF!</v>
      </c>
      <c r="AW56" s="39" t="e">
        <f t="shared" si="18"/>
        <v>#REF!</v>
      </c>
      <c r="AX56" s="39" t="e">
        <f t="shared" si="18"/>
        <v>#REF!</v>
      </c>
      <c r="AY56" s="39" t="e">
        <f t="shared" si="18"/>
        <v>#REF!</v>
      </c>
      <c r="AZ56" s="39" t="e">
        <f t="shared" si="18"/>
        <v>#REF!</v>
      </c>
      <c r="BA56" s="39" t="e">
        <f t="shared" si="18"/>
        <v>#REF!</v>
      </c>
      <c r="BB56" s="39" t="e">
        <f t="shared" si="18"/>
        <v>#REF!</v>
      </c>
      <c r="BC56" s="39" t="e">
        <f t="shared" si="18"/>
        <v>#REF!</v>
      </c>
      <c r="BD56" s="39" t="e">
        <f t="shared" si="18"/>
        <v>#REF!</v>
      </c>
      <c r="BE56" s="39" t="e">
        <f t="shared" si="18"/>
        <v>#REF!</v>
      </c>
      <c r="BF56" s="39" t="e">
        <f t="shared" si="18"/>
        <v>#REF!</v>
      </c>
      <c r="BG56" s="39" t="e">
        <f t="shared" si="18"/>
        <v>#REF!</v>
      </c>
      <c r="BH56" s="39" t="e">
        <f t="shared" si="18"/>
        <v>#REF!</v>
      </c>
      <c r="BI56" s="39" t="e">
        <f t="shared" si="18"/>
        <v>#REF!</v>
      </c>
      <c r="BJ56" s="39" t="e">
        <f t="shared" si="18"/>
        <v>#REF!</v>
      </c>
      <c r="BK56" s="39" t="e">
        <f t="shared" si="18"/>
        <v>#REF!</v>
      </c>
      <c r="BL56" s="39" t="e">
        <f t="shared" si="18"/>
        <v>#REF!</v>
      </c>
      <c r="BM56" s="39" t="e">
        <f t="shared" si="18"/>
        <v>#REF!</v>
      </c>
      <c r="BN56" s="39" t="e">
        <f t="shared" si="18"/>
        <v>#REF!</v>
      </c>
      <c r="BO56" s="39" t="e">
        <f t="shared" si="18"/>
        <v>#REF!</v>
      </c>
      <c r="BP56" s="39" t="e">
        <f t="shared" si="18"/>
        <v>#REF!</v>
      </c>
      <c r="BQ56" s="39" t="e">
        <f t="shared" si="18"/>
        <v>#REF!</v>
      </c>
      <c r="BR56" s="39" t="e">
        <f t="shared" si="18"/>
        <v>#REF!</v>
      </c>
      <c r="BS56" s="39" t="e">
        <f t="shared" si="18"/>
        <v>#REF!</v>
      </c>
      <c r="BT56" s="39" t="e">
        <f t="shared" si="18"/>
        <v>#REF!</v>
      </c>
      <c r="BU56" s="39" t="e">
        <f t="shared" si="18"/>
        <v>#REF!</v>
      </c>
      <c r="BV56" s="39" t="e">
        <f t="shared" si="18"/>
        <v>#REF!</v>
      </c>
      <c r="BW56" s="39" t="e">
        <f t="shared" si="18"/>
        <v>#REF!</v>
      </c>
      <c r="BX56" s="39" t="e">
        <f t="shared" si="18"/>
        <v>#REF!</v>
      </c>
      <c r="BY56" s="39" t="e">
        <f t="shared" si="18"/>
        <v>#REF!</v>
      </c>
      <c r="BZ56" s="39" t="e">
        <f t="shared" si="18"/>
        <v>#REF!</v>
      </c>
      <c r="CA56" s="39" t="e">
        <f t="shared" si="18"/>
        <v>#REF!</v>
      </c>
      <c r="CB56" s="39" t="e">
        <f t="shared" si="18"/>
        <v>#REF!</v>
      </c>
      <c r="CC56" s="39" t="e">
        <f t="shared" si="18"/>
        <v>#REF!</v>
      </c>
      <c r="CD56" s="39" t="e">
        <f t="shared" si="18"/>
        <v>#REF!</v>
      </c>
      <c r="CE56" s="39" t="e">
        <f t="shared" si="18"/>
        <v>#REF!</v>
      </c>
      <c r="CF56" s="39" t="e">
        <f t="shared" si="18"/>
        <v>#REF!</v>
      </c>
      <c r="CG56" s="39" t="e">
        <f t="shared" si="18"/>
        <v>#REF!</v>
      </c>
    </row>
    <row r="57" spans="1:87" ht="14.25" customHeight="1" x14ac:dyDescent="0.4">
      <c r="A57" s="24" t="s">
        <v>206</v>
      </c>
      <c r="B57" s="39" t="e">
        <f t="shared" ref="B57:CG57" si="19">B53-B56</f>
        <v>#REF!</v>
      </c>
      <c r="C57" s="39" t="e">
        <f t="shared" si="19"/>
        <v>#REF!</v>
      </c>
      <c r="D57" s="39" t="e">
        <f t="shared" si="19"/>
        <v>#REF!</v>
      </c>
      <c r="E57" s="39" t="e">
        <f t="shared" si="19"/>
        <v>#REF!</v>
      </c>
      <c r="F57" s="39" t="e">
        <f t="shared" si="19"/>
        <v>#REF!</v>
      </c>
      <c r="G57" s="39" t="e">
        <f t="shared" si="19"/>
        <v>#REF!</v>
      </c>
      <c r="H57" s="39" t="e">
        <f t="shared" si="19"/>
        <v>#REF!</v>
      </c>
      <c r="I57" s="39" t="e">
        <f t="shared" si="19"/>
        <v>#REF!</v>
      </c>
      <c r="J57" s="39" t="e">
        <f t="shared" si="19"/>
        <v>#REF!</v>
      </c>
      <c r="K57" s="39" t="e">
        <f t="shared" si="19"/>
        <v>#REF!</v>
      </c>
      <c r="L57" s="39" t="e">
        <f t="shared" si="19"/>
        <v>#REF!</v>
      </c>
      <c r="M57" s="39" t="e">
        <f t="shared" si="19"/>
        <v>#REF!</v>
      </c>
      <c r="N57" s="39" t="e">
        <f t="shared" si="19"/>
        <v>#REF!</v>
      </c>
      <c r="O57" s="39" t="e">
        <f t="shared" si="19"/>
        <v>#REF!</v>
      </c>
      <c r="P57" s="39" t="e">
        <f t="shared" si="19"/>
        <v>#REF!</v>
      </c>
      <c r="Q57" s="39" t="e">
        <f t="shared" si="19"/>
        <v>#REF!</v>
      </c>
      <c r="R57" s="39" t="e">
        <f t="shared" si="19"/>
        <v>#REF!</v>
      </c>
      <c r="S57" s="39" t="e">
        <f t="shared" si="19"/>
        <v>#REF!</v>
      </c>
      <c r="T57" s="39" t="e">
        <f t="shared" si="19"/>
        <v>#REF!</v>
      </c>
      <c r="U57" s="39" t="e">
        <f t="shared" si="19"/>
        <v>#REF!</v>
      </c>
      <c r="V57" s="39" t="e">
        <f t="shared" si="19"/>
        <v>#REF!</v>
      </c>
      <c r="W57" s="39" t="e">
        <f t="shared" si="19"/>
        <v>#REF!</v>
      </c>
      <c r="X57" s="39" t="e">
        <f t="shared" si="19"/>
        <v>#REF!</v>
      </c>
      <c r="Y57" s="39" t="e">
        <f t="shared" si="19"/>
        <v>#REF!</v>
      </c>
      <c r="Z57" s="39" t="e">
        <f t="shared" si="19"/>
        <v>#REF!</v>
      </c>
      <c r="AA57" s="39" t="e">
        <f t="shared" si="19"/>
        <v>#REF!</v>
      </c>
      <c r="AB57" s="39" t="e">
        <f t="shared" si="19"/>
        <v>#REF!</v>
      </c>
      <c r="AC57" s="39" t="e">
        <f t="shared" si="19"/>
        <v>#REF!</v>
      </c>
      <c r="AD57" s="39" t="e">
        <f t="shared" si="19"/>
        <v>#REF!</v>
      </c>
      <c r="AE57" s="39" t="e">
        <f t="shared" si="19"/>
        <v>#REF!</v>
      </c>
      <c r="AF57" s="39" t="e">
        <f t="shared" si="19"/>
        <v>#REF!</v>
      </c>
      <c r="AG57" s="39" t="e">
        <f t="shared" si="19"/>
        <v>#REF!</v>
      </c>
      <c r="AH57" s="39" t="e">
        <f t="shared" si="19"/>
        <v>#REF!</v>
      </c>
      <c r="AI57" s="39" t="e">
        <f t="shared" si="19"/>
        <v>#REF!</v>
      </c>
      <c r="AJ57" s="39" t="e">
        <f t="shared" si="19"/>
        <v>#REF!</v>
      </c>
      <c r="AK57" s="39" t="e">
        <f t="shared" si="19"/>
        <v>#REF!</v>
      </c>
      <c r="AL57" s="39" t="e">
        <f t="shared" si="19"/>
        <v>#REF!</v>
      </c>
      <c r="AM57" s="39" t="e">
        <f t="shared" si="19"/>
        <v>#REF!</v>
      </c>
      <c r="AN57" s="39" t="e">
        <f t="shared" si="19"/>
        <v>#REF!</v>
      </c>
      <c r="AO57" s="39" t="e">
        <f t="shared" si="19"/>
        <v>#REF!</v>
      </c>
      <c r="AP57" s="39" t="e">
        <f t="shared" si="19"/>
        <v>#REF!</v>
      </c>
      <c r="AQ57" s="39" t="e">
        <f t="shared" si="19"/>
        <v>#REF!</v>
      </c>
      <c r="AR57" s="39" t="e">
        <f t="shared" si="19"/>
        <v>#REF!</v>
      </c>
      <c r="AS57" s="39" t="e">
        <f t="shared" si="19"/>
        <v>#REF!</v>
      </c>
      <c r="AT57" s="39" t="e">
        <f t="shared" si="19"/>
        <v>#REF!</v>
      </c>
      <c r="AU57" s="39" t="e">
        <f t="shared" si="19"/>
        <v>#REF!</v>
      </c>
      <c r="AV57" s="39" t="e">
        <f t="shared" si="19"/>
        <v>#REF!</v>
      </c>
      <c r="AW57" s="39" t="e">
        <f t="shared" si="19"/>
        <v>#REF!</v>
      </c>
      <c r="AX57" s="39" t="e">
        <f t="shared" si="19"/>
        <v>#REF!</v>
      </c>
      <c r="AY57" s="39" t="e">
        <f t="shared" si="19"/>
        <v>#REF!</v>
      </c>
      <c r="AZ57" s="39" t="e">
        <f t="shared" si="19"/>
        <v>#REF!</v>
      </c>
      <c r="BA57" s="39" t="e">
        <f t="shared" si="19"/>
        <v>#REF!</v>
      </c>
      <c r="BB57" s="39" t="e">
        <f t="shared" si="19"/>
        <v>#REF!</v>
      </c>
      <c r="BC57" s="39" t="e">
        <f t="shared" si="19"/>
        <v>#REF!</v>
      </c>
      <c r="BD57" s="39" t="e">
        <f t="shared" si="19"/>
        <v>#REF!</v>
      </c>
      <c r="BE57" s="39" t="e">
        <f t="shared" si="19"/>
        <v>#REF!</v>
      </c>
      <c r="BF57" s="39" t="e">
        <f t="shared" si="19"/>
        <v>#REF!</v>
      </c>
      <c r="BG57" s="39" t="e">
        <f t="shared" si="19"/>
        <v>#REF!</v>
      </c>
      <c r="BH57" s="39" t="e">
        <f t="shared" si="19"/>
        <v>#REF!</v>
      </c>
      <c r="BI57" s="39" t="e">
        <f t="shared" si="19"/>
        <v>#REF!</v>
      </c>
      <c r="BJ57" s="39" t="e">
        <f t="shared" si="19"/>
        <v>#REF!</v>
      </c>
      <c r="BK57" s="39" t="e">
        <f t="shared" si="19"/>
        <v>#REF!</v>
      </c>
      <c r="BL57" s="39" t="e">
        <f t="shared" si="19"/>
        <v>#REF!</v>
      </c>
      <c r="BM57" s="39" t="e">
        <f t="shared" si="19"/>
        <v>#REF!</v>
      </c>
      <c r="BN57" s="39" t="e">
        <f t="shared" si="19"/>
        <v>#REF!</v>
      </c>
      <c r="BO57" s="39" t="e">
        <f t="shared" si="19"/>
        <v>#REF!</v>
      </c>
      <c r="BP57" s="39" t="e">
        <f t="shared" si="19"/>
        <v>#REF!</v>
      </c>
      <c r="BQ57" s="39" t="e">
        <f t="shared" si="19"/>
        <v>#REF!</v>
      </c>
      <c r="BR57" s="39" t="e">
        <f t="shared" si="19"/>
        <v>#REF!</v>
      </c>
      <c r="BS57" s="39" t="e">
        <f t="shared" si="19"/>
        <v>#REF!</v>
      </c>
      <c r="BT57" s="39" t="e">
        <f t="shared" si="19"/>
        <v>#REF!</v>
      </c>
      <c r="BU57" s="39" t="e">
        <f t="shared" si="19"/>
        <v>#REF!</v>
      </c>
      <c r="BV57" s="39" t="e">
        <f t="shared" si="19"/>
        <v>#REF!</v>
      </c>
      <c r="BW57" s="39" t="e">
        <f t="shared" si="19"/>
        <v>#REF!</v>
      </c>
      <c r="BX57" s="39" t="e">
        <f t="shared" si="19"/>
        <v>#REF!</v>
      </c>
      <c r="BY57" s="39" t="e">
        <f t="shared" si="19"/>
        <v>#REF!</v>
      </c>
      <c r="BZ57" s="39" t="e">
        <f t="shared" si="19"/>
        <v>#REF!</v>
      </c>
      <c r="CA57" s="39" t="e">
        <f t="shared" si="19"/>
        <v>#REF!</v>
      </c>
      <c r="CB57" s="39" t="e">
        <f t="shared" si="19"/>
        <v>#REF!</v>
      </c>
      <c r="CC57" s="39" t="e">
        <f t="shared" si="19"/>
        <v>#REF!</v>
      </c>
      <c r="CD57" s="39" t="e">
        <f t="shared" si="19"/>
        <v>#REF!</v>
      </c>
      <c r="CE57" s="39" t="e">
        <f t="shared" si="19"/>
        <v>#REF!</v>
      </c>
      <c r="CF57" s="39" t="e">
        <f t="shared" si="19"/>
        <v>#REF!</v>
      </c>
      <c r="CG57" s="39" t="e">
        <f t="shared" si="19"/>
        <v>#REF!</v>
      </c>
    </row>
    <row r="58" spans="1:87" ht="14.25" customHeight="1" x14ac:dyDescent="0.4">
      <c r="A58" s="148"/>
      <c r="B58" s="148"/>
      <c r="C58" s="148"/>
      <c r="D58" s="148"/>
      <c r="E58" s="148"/>
      <c r="F58" s="148"/>
      <c r="G58" s="148"/>
      <c r="H58" s="148"/>
      <c r="I58" s="148"/>
      <c r="J58" s="148"/>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8"/>
      <c r="AN58" s="148"/>
      <c r="AO58" s="148"/>
      <c r="AP58" s="148"/>
      <c r="AQ58" s="148"/>
      <c r="AR58" s="148"/>
      <c r="AS58" s="148"/>
      <c r="AT58" s="148"/>
      <c r="AU58" s="148"/>
      <c r="AV58" s="148"/>
      <c r="AW58" s="148"/>
      <c r="AX58" s="148"/>
      <c r="AY58" s="148"/>
      <c r="AZ58" s="148"/>
      <c r="BA58" s="148"/>
      <c r="BB58" s="148"/>
      <c r="BC58" s="148"/>
      <c r="BD58" s="148"/>
      <c r="BE58" s="148"/>
      <c r="BF58" s="148"/>
      <c r="BG58" s="148"/>
      <c r="BH58" s="148"/>
      <c r="BI58" s="148"/>
    </row>
    <row r="59" spans="1:87" ht="14.25" customHeight="1" x14ac:dyDescent="0.4"/>
    <row r="60" spans="1:87" ht="14.25" customHeight="1" x14ac:dyDescent="0.4"/>
    <row r="61" spans="1:87" ht="14.25" customHeight="1" x14ac:dyDescent="0.4"/>
    <row r="62" spans="1:87" ht="14.25" customHeight="1" x14ac:dyDescent="0.4"/>
    <row r="63" spans="1:87" ht="14.25" customHeight="1" x14ac:dyDescent="0.4"/>
    <row r="64" spans="1:87"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mergeCells count="1">
    <mergeCell ref="A3:B3"/>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55A11"/>
  </sheetPr>
  <dimension ref="A1:CJ390"/>
  <sheetViews>
    <sheetView workbookViewId="0">
      <selection activeCell="A47" sqref="A47:XFD386"/>
    </sheetView>
  </sheetViews>
  <sheetFormatPr defaultColWidth="12.61328125" defaultRowHeight="15" customHeight="1" x14ac:dyDescent="0.4"/>
  <cols>
    <col min="1" max="1" width="17.23046875" customWidth="1"/>
    <col min="2" max="4" width="13.07421875" bestFit="1" customWidth="1"/>
    <col min="5" max="5" width="22.61328125" bestFit="1" customWidth="1"/>
    <col min="6" max="6" width="16.84375" customWidth="1"/>
    <col min="7" max="25" width="13.07421875" bestFit="1" customWidth="1"/>
    <col min="26" max="26" width="14.69140625" bestFit="1" customWidth="1"/>
    <col min="27" max="27" width="13.69140625" bestFit="1" customWidth="1"/>
    <col min="28" max="63" width="13.07421875" bestFit="1" customWidth="1"/>
    <col min="64" max="76" width="14.53515625" bestFit="1" customWidth="1"/>
    <col min="77" max="77" width="15.15234375" bestFit="1" customWidth="1"/>
    <col min="78" max="82" width="14.53515625" bestFit="1" customWidth="1"/>
    <col min="83" max="83" width="15.15234375" bestFit="1" customWidth="1"/>
  </cols>
  <sheetData>
    <row r="1" spans="1:88" ht="18.45" x14ac:dyDescent="0.5">
      <c r="A1" s="630" t="s">
        <v>188</v>
      </c>
      <c r="B1" s="631"/>
      <c r="C1" s="631"/>
      <c r="D1" s="631"/>
      <c r="E1" s="632"/>
    </row>
    <row r="2" spans="1:88" ht="14.25" customHeight="1" x14ac:dyDescent="0.4">
      <c r="F2" s="24"/>
      <c r="I2" s="49"/>
    </row>
    <row r="3" spans="1:88" ht="14.25" customHeight="1" thickBot="1" x14ac:dyDescent="0.45">
      <c r="A3" s="633" t="s">
        <v>189</v>
      </c>
      <c r="B3" s="634"/>
      <c r="C3" s="24"/>
    </row>
    <row r="4" spans="1:88" ht="14.25" customHeight="1" x14ac:dyDescent="0.4">
      <c r="A4" s="132" t="s">
        <v>190</v>
      </c>
      <c r="B4" s="71"/>
      <c r="C4" s="24"/>
    </row>
    <row r="5" spans="1:88" ht="14.25" customHeight="1" x14ac:dyDescent="0.4">
      <c r="A5" s="131" t="s">
        <v>191</v>
      </c>
      <c r="B5" s="70"/>
      <c r="C5" s="142">
        <f>'Budget First 84 months'!E20</f>
        <v>130000000</v>
      </c>
      <c r="E5" t="s">
        <v>192</v>
      </c>
      <c r="F5" t="s">
        <v>193</v>
      </c>
    </row>
    <row r="6" spans="1:88" ht="14.25" customHeight="1" x14ac:dyDescent="0.4">
      <c r="A6" s="131" t="s">
        <v>194</v>
      </c>
      <c r="B6" s="70"/>
      <c r="C6" s="143">
        <v>7</v>
      </c>
      <c r="E6" t="s">
        <v>195</v>
      </c>
      <c r="F6" s="38">
        <v>60</v>
      </c>
    </row>
    <row r="7" spans="1:88" ht="14.25" customHeight="1" x14ac:dyDescent="0.4">
      <c r="A7" t="s">
        <v>196</v>
      </c>
      <c r="C7" s="144">
        <v>0.09</v>
      </c>
      <c r="E7" t="s">
        <v>197</v>
      </c>
      <c r="F7" s="144">
        <f>9%/12</f>
        <v>7.4999999999999997E-3</v>
      </c>
    </row>
    <row r="8" spans="1:88" ht="14.25" customHeight="1" x14ac:dyDescent="0.4">
      <c r="A8" t="s">
        <v>198</v>
      </c>
      <c r="C8" s="146" t="s">
        <v>199</v>
      </c>
      <c r="E8" t="s">
        <v>200</v>
      </c>
      <c r="F8" s="147">
        <f>PMT(F7,F6,-C5,0)</f>
        <v>2698586.1794260214</v>
      </c>
    </row>
    <row r="10" spans="1:88" ht="14.25" customHeight="1" x14ac:dyDescent="0.4">
      <c r="A10" s="71" t="s">
        <v>172</v>
      </c>
      <c r="B10" s="71">
        <v>2</v>
      </c>
      <c r="C10" s="71">
        <v>3</v>
      </c>
      <c r="D10" s="71">
        <v>4</v>
      </c>
      <c r="E10" s="71">
        <v>5</v>
      </c>
      <c r="F10" s="71">
        <v>6</v>
      </c>
      <c r="G10" s="71">
        <v>7</v>
      </c>
      <c r="H10" s="71">
        <v>8</v>
      </c>
      <c r="I10" s="71">
        <v>9</v>
      </c>
      <c r="J10" s="71">
        <v>10</v>
      </c>
      <c r="K10" s="71">
        <v>11</v>
      </c>
      <c r="L10" s="71">
        <v>12</v>
      </c>
      <c r="M10" s="71">
        <v>13</v>
      </c>
      <c r="N10" s="71">
        <v>14</v>
      </c>
      <c r="O10" s="71">
        <v>15</v>
      </c>
      <c r="P10" s="71">
        <v>16</v>
      </c>
      <c r="Q10" s="71">
        <v>17</v>
      </c>
      <c r="R10" s="71">
        <v>18</v>
      </c>
      <c r="S10" s="71">
        <v>19</v>
      </c>
      <c r="T10" s="71">
        <v>20</v>
      </c>
      <c r="U10" s="71">
        <v>21</v>
      </c>
      <c r="V10" s="71">
        <v>22</v>
      </c>
      <c r="W10" s="71">
        <v>23</v>
      </c>
      <c r="X10" s="71">
        <v>24</v>
      </c>
      <c r="Y10" s="71">
        <v>25</v>
      </c>
      <c r="Z10" s="71" t="s">
        <v>201</v>
      </c>
      <c r="AA10" s="71">
        <v>25</v>
      </c>
      <c r="AB10" s="71">
        <v>26</v>
      </c>
      <c r="AC10" s="71">
        <v>27</v>
      </c>
      <c r="AD10" s="71">
        <v>28</v>
      </c>
      <c r="AE10" s="71">
        <v>29</v>
      </c>
      <c r="AF10" s="71">
        <v>30</v>
      </c>
      <c r="AG10" s="71">
        <v>31</v>
      </c>
      <c r="AH10" s="71">
        <v>32</v>
      </c>
      <c r="AI10" s="71">
        <v>33</v>
      </c>
      <c r="AJ10" s="71">
        <v>34</v>
      </c>
      <c r="AK10" s="71">
        <v>35</v>
      </c>
      <c r="AL10" s="71">
        <v>36</v>
      </c>
      <c r="AM10" s="71">
        <v>37</v>
      </c>
      <c r="AN10" s="71">
        <v>38</v>
      </c>
      <c r="AO10" s="71">
        <v>39</v>
      </c>
      <c r="AP10" s="71">
        <v>40</v>
      </c>
      <c r="AQ10" s="71">
        <v>41</v>
      </c>
      <c r="AR10" s="71">
        <v>42</v>
      </c>
      <c r="AS10" s="71">
        <v>43</v>
      </c>
      <c r="AT10" s="71">
        <v>44</v>
      </c>
      <c r="AU10" s="71">
        <v>45</v>
      </c>
      <c r="AV10" s="71">
        <v>46</v>
      </c>
      <c r="AW10" s="71">
        <v>47</v>
      </c>
      <c r="AX10" s="71">
        <v>48</v>
      </c>
      <c r="AY10" s="71">
        <v>49</v>
      </c>
      <c r="AZ10" s="71">
        <v>50</v>
      </c>
      <c r="BA10" s="71">
        <v>51</v>
      </c>
      <c r="BB10" s="71">
        <v>52</v>
      </c>
      <c r="BC10" s="71">
        <v>53</v>
      </c>
      <c r="BD10" s="71">
        <v>54</v>
      </c>
      <c r="BE10" s="71">
        <v>55</v>
      </c>
      <c r="BF10" s="71">
        <v>56</v>
      </c>
      <c r="BG10" s="71">
        <v>57</v>
      </c>
      <c r="BH10" s="71">
        <v>58</v>
      </c>
      <c r="BI10" s="71">
        <v>59</v>
      </c>
      <c r="BJ10" s="71">
        <v>60</v>
      </c>
      <c r="BK10" s="71">
        <v>61</v>
      </c>
      <c r="BL10" s="71">
        <v>62</v>
      </c>
      <c r="BM10" s="71">
        <v>63</v>
      </c>
      <c r="BN10" s="71">
        <v>64</v>
      </c>
      <c r="BO10" s="71">
        <v>65</v>
      </c>
      <c r="BP10" s="71">
        <v>66</v>
      </c>
      <c r="BQ10" s="71">
        <v>67</v>
      </c>
      <c r="BR10" s="71">
        <v>68</v>
      </c>
      <c r="BS10" s="71">
        <v>69</v>
      </c>
      <c r="BT10" s="71">
        <v>70</v>
      </c>
      <c r="BU10" s="71">
        <v>71</v>
      </c>
      <c r="BV10" s="71">
        <v>72</v>
      </c>
      <c r="BW10" s="71">
        <v>73</v>
      </c>
      <c r="BX10" s="71">
        <v>74</v>
      </c>
      <c r="BY10" s="71">
        <v>75</v>
      </c>
      <c r="BZ10" s="71">
        <v>76</v>
      </c>
      <c r="CA10" s="71">
        <v>77</v>
      </c>
      <c r="CB10" s="71">
        <v>78</v>
      </c>
      <c r="CC10" s="71">
        <v>79</v>
      </c>
      <c r="CD10" s="71">
        <v>80</v>
      </c>
      <c r="CE10" s="71">
        <v>81</v>
      </c>
      <c r="CF10" s="71">
        <v>82</v>
      </c>
      <c r="CG10" s="71">
        <v>83</v>
      </c>
      <c r="CH10" s="71">
        <v>84</v>
      </c>
      <c r="CI10" s="71"/>
      <c r="CJ10" s="71"/>
    </row>
    <row r="11" spans="1:88" ht="16.5" customHeight="1" x14ac:dyDescent="0.4">
      <c r="A11" s="24" t="s">
        <v>202</v>
      </c>
      <c r="B11" s="39">
        <f>C5</f>
        <v>130000000</v>
      </c>
      <c r="C11" s="39">
        <f t="shared" ref="C11:Z11" si="0">B15</f>
        <v>130000000</v>
      </c>
      <c r="D11" s="39">
        <f t="shared" si="0"/>
        <v>130000000</v>
      </c>
      <c r="E11" s="39">
        <f t="shared" si="0"/>
        <v>130000000</v>
      </c>
      <c r="F11" s="39">
        <f t="shared" si="0"/>
        <v>130000000</v>
      </c>
      <c r="G11" s="39">
        <f t="shared" si="0"/>
        <v>130000000</v>
      </c>
      <c r="H11" s="39">
        <f t="shared" si="0"/>
        <v>130000000</v>
      </c>
      <c r="I11" s="39">
        <f t="shared" si="0"/>
        <v>130000000</v>
      </c>
      <c r="J11" s="39">
        <f t="shared" si="0"/>
        <v>130000000</v>
      </c>
      <c r="K11" s="39">
        <f t="shared" si="0"/>
        <v>130000000</v>
      </c>
      <c r="L11" s="39">
        <f t="shared" si="0"/>
        <v>130000000</v>
      </c>
      <c r="M11" s="39">
        <f t="shared" si="0"/>
        <v>130000000</v>
      </c>
      <c r="N11" s="39">
        <f t="shared" si="0"/>
        <v>130000000</v>
      </c>
      <c r="O11" s="39">
        <f t="shared" si="0"/>
        <v>130000000</v>
      </c>
      <c r="P11" s="39">
        <f t="shared" si="0"/>
        <v>130000000</v>
      </c>
      <c r="Q11" s="39">
        <f t="shared" si="0"/>
        <v>130000000</v>
      </c>
      <c r="R11" s="39">
        <f t="shared" si="0"/>
        <v>130000000</v>
      </c>
      <c r="S11" s="39">
        <f t="shared" si="0"/>
        <v>130000000</v>
      </c>
      <c r="T11" s="39">
        <f t="shared" si="0"/>
        <v>130000000</v>
      </c>
      <c r="U11" s="39">
        <f t="shared" si="0"/>
        <v>130000000</v>
      </c>
      <c r="V11" s="39">
        <f t="shared" si="0"/>
        <v>130000000</v>
      </c>
      <c r="W11" s="39">
        <f t="shared" si="0"/>
        <v>130000000</v>
      </c>
      <c r="X11" s="39">
        <f t="shared" si="0"/>
        <v>130000000</v>
      </c>
      <c r="Y11" s="39">
        <f t="shared" si="0"/>
        <v>130000000</v>
      </c>
      <c r="Z11" s="39">
        <f t="shared" si="0"/>
        <v>130000000</v>
      </c>
      <c r="AA11" s="439">
        <f t="shared" ref="AA11" si="1">Y15</f>
        <v>130000000</v>
      </c>
      <c r="AB11" s="439">
        <f t="shared" ref="AB11" si="2">AA15</f>
        <v>127301413.82057399</v>
      </c>
      <c r="AC11" s="439">
        <f t="shared" ref="AC11" si="3">AB15</f>
        <v>125661380.02093405</v>
      </c>
      <c r="AD11" s="439">
        <f t="shared" ref="AD11" si="4">AC15</f>
        <v>124009045.9677968</v>
      </c>
      <c r="AE11" s="439">
        <f t="shared" ref="AE11" si="5">AD15</f>
        <v>122344319.40926103</v>
      </c>
      <c r="AF11" s="439">
        <f t="shared" ref="AF11" si="6">AE15</f>
        <v>120667107.40153624</v>
      </c>
      <c r="AG11" s="439">
        <f t="shared" ref="AG11" si="7">AF15</f>
        <v>118977316.30375351</v>
      </c>
      <c r="AH11" s="439">
        <f t="shared" ref="AH11" si="8">AG15</f>
        <v>117274851.77273741</v>
      </c>
      <c r="AI11" s="439">
        <f t="shared" ref="AI11" si="9">AH15</f>
        <v>115559618.75773869</v>
      </c>
      <c r="AJ11" s="439">
        <f t="shared" ref="AJ11" si="10">AI15</f>
        <v>113831521.49512748</v>
      </c>
      <c r="AK11" s="439">
        <f t="shared" ref="AK11" si="11">AJ15</f>
        <v>112090463.50304669</v>
      </c>
      <c r="AL11" s="439">
        <f t="shared" ref="AL11" si="12">AK15</f>
        <v>110336347.57602529</v>
      </c>
      <c r="AM11" s="439">
        <f t="shared" ref="AM11" si="13">AL15</f>
        <v>108569075.77955124</v>
      </c>
      <c r="AN11" s="439">
        <f t="shared" ref="AN11" si="14">AM15</f>
        <v>106788549.44460362</v>
      </c>
      <c r="AO11" s="439">
        <f t="shared" ref="AO11" si="15">AN15</f>
        <v>104994669.1621439</v>
      </c>
      <c r="AP11" s="439">
        <f t="shared" ref="AP11" si="16">AO15</f>
        <v>103187334.77756573</v>
      </c>
      <c r="AQ11" s="439">
        <f t="shared" ref="AQ11" si="17">AP15</f>
        <v>101366445.38510323</v>
      </c>
      <c r="AR11" s="439">
        <f t="shared" ref="AR11" si="18">AQ15</f>
        <v>99531899.322197244</v>
      </c>
      <c r="AS11" s="439">
        <f t="shared" ref="AS11" si="19">AR15</f>
        <v>97683594.163819477</v>
      </c>
      <c r="AT11" s="439">
        <f t="shared" ref="AT11" si="20">AS15</f>
        <v>95821426.71675387</v>
      </c>
      <c r="AU11" s="439">
        <f t="shared" ref="AU11" si="21">AT15</f>
        <v>93945293.013835266</v>
      </c>
      <c r="AV11" s="439">
        <f t="shared" ref="AV11" si="22">AU15</f>
        <v>92055088.308144778</v>
      </c>
      <c r="AW11" s="439">
        <f t="shared" ref="AW11" si="23">AV15</f>
        <v>90150707.06716162</v>
      </c>
      <c r="AX11" s="439">
        <f t="shared" ref="AX11" si="24">AW15</f>
        <v>88232042.966871083</v>
      </c>
      <c r="AY11" s="439">
        <f t="shared" ref="AY11" si="25">AX15</f>
        <v>86298988.885828361</v>
      </c>
      <c r="AZ11" s="439">
        <f t="shared" ref="AZ11" si="26">AY15</f>
        <v>84351436.899177819</v>
      </c>
      <c r="BA11" s="439">
        <f t="shared" ref="BA11" si="27">AZ15</f>
        <v>82389278.272627398</v>
      </c>
      <c r="BB11" s="439">
        <f t="shared" ref="BB11" si="28">BA15</f>
        <v>80412403.456377849</v>
      </c>
      <c r="BC11" s="439">
        <f t="shared" ref="BC11" si="29">BB15</f>
        <v>78420702.079006433</v>
      </c>
      <c r="BD11" s="439">
        <f t="shared" ref="BD11" si="30">BC15</f>
        <v>76414062.941304728</v>
      </c>
      <c r="BE11" s="439">
        <f t="shared" ref="BE11" si="31">BD15</f>
        <v>74392374.010070264</v>
      </c>
      <c r="BF11" s="439">
        <f t="shared" ref="BF11" si="32">BE15</f>
        <v>72355522.41185154</v>
      </c>
      <c r="BG11" s="439">
        <f t="shared" ref="BG11" si="33">BF15</f>
        <v>70303394.426646173</v>
      </c>
      <c r="BH11" s="439">
        <f t="shared" ref="BH11" si="34">BG15</f>
        <v>68235875.481551766</v>
      </c>
      <c r="BI11" s="439">
        <f t="shared" ref="BI11" si="35">BH15</f>
        <v>66152850.144369155</v>
      </c>
      <c r="BJ11" s="439">
        <f t="shared" ref="BJ11" si="36">BI15</f>
        <v>64054202.117157675</v>
      </c>
      <c r="BK11" s="439">
        <f t="shared" ref="BK11" si="37">BJ15</f>
        <v>61939814.22974211</v>
      </c>
      <c r="BL11" s="439">
        <f t="shared" ref="BL11" si="38">BK15</f>
        <v>59809568.433170922</v>
      </c>
      <c r="BM11" s="439">
        <f t="shared" ref="BM11" si="39">BL15</f>
        <v>57663345.793125451</v>
      </c>
      <c r="BN11" s="439">
        <f t="shared" ref="BN11" si="40">BM15</f>
        <v>55501026.483279638</v>
      </c>
      <c r="BO11" s="439">
        <f t="shared" ref="BO11" si="41">BN15</f>
        <v>53322489.778609984</v>
      </c>
      <c r="BP11" s="439">
        <f t="shared" ref="BP11" si="42">BO15</f>
        <v>51127614.048655309</v>
      </c>
      <c r="BQ11" s="439">
        <f t="shared" ref="BQ11" si="43">BP15</f>
        <v>48916276.75072597</v>
      </c>
      <c r="BR11" s="439">
        <f t="shared" ref="BR11" si="44">BQ15</f>
        <v>46688354.423062161</v>
      </c>
      <c r="BS11" s="439">
        <f t="shared" ref="BS11" si="45">BR15</f>
        <v>44443722.677940875</v>
      </c>
      <c r="BT11" s="439">
        <f t="shared" ref="BT11" si="46">BS15</f>
        <v>42182256.194731183</v>
      </c>
      <c r="BU11" s="439">
        <f t="shared" ref="BU11" si="47">BT15</f>
        <v>39903828.712897412</v>
      </c>
      <c r="BV11" s="439">
        <f t="shared" ref="BV11" si="48">BU15</f>
        <v>37608313.024949893</v>
      </c>
      <c r="BW11" s="439">
        <f t="shared" ref="BW11" si="49">BV15</f>
        <v>35295580.969342768</v>
      </c>
      <c r="BX11" s="439">
        <f t="shared" ref="BX11" si="50">BW15</f>
        <v>32965503.423318587</v>
      </c>
      <c r="BY11" s="439">
        <f t="shared" ref="BY11" si="51">BX15</f>
        <v>30617950.295699224</v>
      </c>
      <c r="BZ11" s="439">
        <f t="shared" ref="BZ11" si="52">BY15</f>
        <v>28252790.519622717</v>
      </c>
      <c r="CA11" s="439">
        <f t="shared" ref="CA11" si="53">BZ15</f>
        <v>25869892.045225635</v>
      </c>
      <c r="CB11" s="439">
        <f t="shared" ref="CB11" si="54">CA15</f>
        <v>23469121.832270578</v>
      </c>
      <c r="CC11" s="439">
        <f t="shared" ref="CC11" si="55">CB15</f>
        <v>21050345.842718355</v>
      </c>
      <c r="CD11" s="439">
        <f t="shared" ref="CD11" si="56">CC15</f>
        <v>18613429.033244491</v>
      </c>
      <c r="CE11" s="439">
        <f t="shared" ref="CE11" si="57">CD15</f>
        <v>16158235.347699573</v>
      </c>
      <c r="CF11" s="439">
        <f t="shared" ref="CF11" si="58">CE15</f>
        <v>13684627.709513068</v>
      </c>
      <c r="CG11" s="439">
        <f t="shared" ref="CG11" si="59">CF15</f>
        <v>11192468.014040165</v>
      </c>
      <c r="CH11" s="439">
        <f t="shared" ref="CH11" si="60">CG15</f>
        <v>8681617.120851215</v>
      </c>
      <c r="CI11" s="547"/>
      <c r="CJ11" s="547"/>
    </row>
    <row r="12" spans="1:88" ht="14.25" customHeight="1" x14ac:dyDescent="0.4">
      <c r="A12" s="24" t="s">
        <v>203</v>
      </c>
      <c r="B12" s="39"/>
      <c r="C12" s="39"/>
      <c r="D12" s="39"/>
      <c r="E12" s="39"/>
      <c r="F12" s="39"/>
      <c r="G12" s="39"/>
      <c r="H12" s="39"/>
      <c r="I12" s="39"/>
      <c r="J12" s="39"/>
      <c r="K12" s="39"/>
      <c r="L12" s="39"/>
      <c r="M12" s="39"/>
      <c r="N12" s="39"/>
      <c r="O12" s="39"/>
      <c r="P12" s="39"/>
      <c r="Q12" s="39"/>
      <c r="R12" s="39"/>
      <c r="S12" s="39"/>
      <c r="T12" s="39"/>
      <c r="U12" s="39"/>
      <c r="V12" s="39"/>
      <c r="W12" s="39"/>
      <c r="X12" s="39"/>
      <c r="Y12" s="39"/>
      <c r="Z12" s="39"/>
      <c r="AA12" s="439">
        <f>-F8+Z13</f>
        <v>-26098586.179426022</v>
      </c>
      <c r="AB12" s="439">
        <f>-$F$38</f>
        <v>-2594794.4032942513</v>
      </c>
      <c r="AC12" s="439">
        <f t="shared" ref="AC12:CH12" si="61">-$F$38</f>
        <v>-2594794.4032942513</v>
      </c>
      <c r="AD12" s="439">
        <f t="shared" si="61"/>
        <v>-2594794.4032942513</v>
      </c>
      <c r="AE12" s="439">
        <f t="shared" si="61"/>
        <v>-2594794.4032942513</v>
      </c>
      <c r="AF12" s="439">
        <f t="shared" si="61"/>
        <v>-2594794.4032942513</v>
      </c>
      <c r="AG12" s="439">
        <f t="shared" si="61"/>
        <v>-2594794.4032942513</v>
      </c>
      <c r="AH12" s="439">
        <f t="shared" si="61"/>
        <v>-2594794.4032942513</v>
      </c>
      <c r="AI12" s="439">
        <f t="shared" si="61"/>
        <v>-2594794.4032942513</v>
      </c>
      <c r="AJ12" s="439">
        <f t="shared" si="61"/>
        <v>-2594794.4032942513</v>
      </c>
      <c r="AK12" s="439">
        <f t="shared" si="61"/>
        <v>-2594794.4032942513</v>
      </c>
      <c r="AL12" s="439">
        <f t="shared" si="61"/>
        <v>-2594794.4032942513</v>
      </c>
      <c r="AM12" s="439">
        <f t="shared" si="61"/>
        <v>-2594794.4032942513</v>
      </c>
      <c r="AN12" s="439">
        <f t="shared" si="61"/>
        <v>-2594794.4032942513</v>
      </c>
      <c r="AO12" s="439">
        <f t="shared" si="61"/>
        <v>-2594794.4032942513</v>
      </c>
      <c r="AP12" s="439">
        <f t="shared" si="61"/>
        <v>-2594794.4032942513</v>
      </c>
      <c r="AQ12" s="439">
        <f t="shared" si="61"/>
        <v>-2594794.4032942513</v>
      </c>
      <c r="AR12" s="439">
        <f t="shared" si="61"/>
        <v>-2594794.4032942513</v>
      </c>
      <c r="AS12" s="439">
        <f t="shared" si="61"/>
        <v>-2594794.4032942513</v>
      </c>
      <c r="AT12" s="439">
        <f t="shared" si="61"/>
        <v>-2594794.4032942513</v>
      </c>
      <c r="AU12" s="439">
        <f t="shared" si="61"/>
        <v>-2594794.4032942513</v>
      </c>
      <c r="AV12" s="439">
        <f t="shared" si="61"/>
        <v>-2594794.4032942513</v>
      </c>
      <c r="AW12" s="439">
        <f t="shared" si="61"/>
        <v>-2594794.4032942513</v>
      </c>
      <c r="AX12" s="439">
        <f t="shared" si="61"/>
        <v>-2594794.4032942513</v>
      </c>
      <c r="AY12" s="439">
        <f t="shared" si="61"/>
        <v>-2594794.4032942513</v>
      </c>
      <c r="AZ12" s="439">
        <f t="shared" si="61"/>
        <v>-2594794.4032942513</v>
      </c>
      <c r="BA12" s="439">
        <f t="shared" si="61"/>
        <v>-2594794.4032942513</v>
      </c>
      <c r="BB12" s="439">
        <f t="shared" si="61"/>
        <v>-2594794.4032942513</v>
      </c>
      <c r="BC12" s="439">
        <f t="shared" si="61"/>
        <v>-2594794.4032942513</v>
      </c>
      <c r="BD12" s="439">
        <f t="shared" si="61"/>
        <v>-2594794.4032942513</v>
      </c>
      <c r="BE12" s="439">
        <f t="shared" si="61"/>
        <v>-2594794.4032942513</v>
      </c>
      <c r="BF12" s="439">
        <f t="shared" si="61"/>
        <v>-2594794.4032942513</v>
      </c>
      <c r="BG12" s="439">
        <f t="shared" si="61"/>
        <v>-2594794.4032942513</v>
      </c>
      <c r="BH12" s="439">
        <f t="shared" si="61"/>
        <v>-2594794.4032942513</v>
      </c>
      <c r="BI12" s="439">
        <f t="shared" si="61"/>
        <v>-2594794.4032942513</v>
      </c>
      <c r="BJ12" s="439">
        <f t="shared" si="61"/>
        <v>-2594794.4032942513</v>
      </c>
      <c r="BK12" s="439">
        <f t="shared" si="61"/>
        <v>-2594794.4032942513</v>
      </c>
      <c r="BL12" s="439">
        <f t="shared" si="61"/>
        <v>-2594794.4032942513</v>
      </c>
      <c r="BM12" s="439">
        <f t="shared" si="61"/>
        <v>-2594794.4032942513</v>
      </c>
      <c r="BN12" s="439">
        <f t="shared" si="61"/>
        <v>-2594794.4032942513</v>
      </c>
      <c r="BO12" s="439">
        <f t="shared" si="61"/>
        <v>-2594794.4032942513</v>
      </c>
      <c r="BP12" s="439">
        <f t="shared" si="61"/>
        <v>-2594794.4032942513</v>
      </c>
      <c r="BQ12" s="439">
        <f t="shared" si="61"/>
        <v>-2594794.4032942513</v>
      </c>
      <c r="BR12" s="439">
        <f t="shared" si="61"/>
        <v>-2594794.4032942513</v>
      </c>
      <c r="BS12" s="439">
        <f t="shared" si="61"/>
        <v>-2594794.4032942513</v>
      </c>
      <c r="BT12" s="439">
        <f t="shared" si="61"/>
        <v>-2594794.4032942513</v>
      </c>
      <c r="BU12" s="439">
        <f t="shared" si="61"/>
        <v>-2594794.4032942513</v>
      </c>
      <c r="BV12" s="439">
        <f t="shared" si="61"/>
        <v>-2594794.4032942513</v>
      </c>
      <c r="BW12" s="439">
        <f t="shared" si="61"/>
        <v>-2594794.4032942513</v>
      </c>
      <c r="BX12" s="439">
        <f t="shared" si="61"/>
        <v>-2594794.4032942513</v>
      </c>
      <c r="BY12" s="439">
        <f t="shared" si="61"/>
        <v>-2594794.4032942513</v>
      </c>
      <c r="BZ12" s="439">
        <f t="shared" si="61"/>
        <v>-2594794.4032942513</v>
      </c>
      <c r="CA12" s="439">
        <f t="shared" si="61"/>
        <v>-2594794.4032942513</v>
      </c>
      <c r="CB12" s="439">
        <f t="shared" si="61"/>
        <v>-2594794.4032942513</v>
      </c>
      <c r="CC12" s="439">
        <f t="shared" si="61"/>
        <v>-2594794.4032942513</v>
      </c>
      <c r="CD12" s="439">
        <f t="shared" si="61"/>
        <v>-2594794.4032942513</v>
      </c>
      <c r="CE12" s="439">
        <f t="shared" si="61"/>
        <v>-2594794.4032942513</v>
      </c>
      <c r="CF12" s="439">
        <f>-$F$38</f>
        <v>-2594794.4032942513</v>
      </c>
      <c r="CG12" s="439">
        <f t="shared" si="61"/>
        <v>-2594794.4032942513</v>
      </c>
      <c r="CH12" s="439">
        <f t="shared" si="61"/>
        <v>-2594794.4032942513</v>
      </c>
      <c r="CI12" s="547"/>
      <c r="CJ12" s="547"/>
    </row>
    <row r="13" spans="1:88" ht="14.25" customHeight="1" x14ac:dyDescent="0.4">
      <c r="A13" s="24" t="s">
        <v>204</v>
      </c>
      <c r="B13" s="39">
        <f>-B11*$F$7</f>
        <v>-975000</v>
      </c>
      <c r="C13" s="39">
        <f t="shared" ref="C13:Y13" si="62">-C11*$F$7</f>
        <v>-975000</v>
      </c>
      <c r="D13" s="39">
        <f t="shared" si="62"/>
        <v>-975000</v>
      </c>
      <c r="E13" s="39">
        <f t="shared" si="62"/>
        <v>-975000</v>
      </c>
      <c r="F13" s="39">
        <f t="shared" si="62"/>
        <v>-975000</v>
      </c>
      <c r="G13" s="39">
        <f t="shared" si="62"/>
        <v>-975000</v>
      </c>
      <c r="H13" s="39">
        <f t="shared" si="62"/>
        <v>-975000</v>
      </c>
      <c r="I13" s="39">
        <f t="shared" si="62"/>
        <v>-975000</v>
      </c>
      <c r="J13" s="39">
        <f t="shared" si="62"/>
        <v>-975000</v>
      </c>
      <c r="K13" s="39">
        <f t="shared" si="62"/>
        <v>-975000</v>
      </c>
      <c r="L13" s="39">
        <f t="shared" si="62"/>
        <v>-975000</v>
      </c>
      <c r="M13" s="39">
        <f t="shared" si="62"/>
        <v>-975000</v>
      </c>
      <c r="N13" s="39">
        <f t="shared" si="62"/>
        <v>-975000</v>
      </c>
      <c r="O13" s="39">
        <f t="shared" si="62"/>
        <v>-975000</v>
      </c>
      <c r="P13" s="39">
        <f t="shared" si="62"/>
        <v>-975000</v>
      </c>
      <c r="Q13" s="39">
        <f t="shared" si="62"/>
        <v>-975000</v>
      </c>
      <c r="R13" s="39">
        <f t="shared" si="62"/>
        <v>-975000</v>
      </c>
      <c r="S13" s="39">
        <f t="shared" si="62"/>
        <v>-975000</v>
      </c>
      <c r="T13" s="39">
        <f t="shared" si="62"/>
        <v>-975000</v>
      </c>
      <c r="U13" s="39">
        <f t="shared" si="62"/>
        <v>-975000</v>
      </c>
      <c r="V13" s="39">
        <f t="shared" si="62"/>
        <v>-975000</v>
      </c>
      <c r="W13" s="39">
        <f t="shared" si="62"/>
        <v>-975000</v>
      </c>
      <c r="X13" s="39">
        <f t="shared" si="62"/>
        <v>-975000</v>
      </c>
      <c r="Y13" s="39">
        <f t="shared" si="62"/>
        <v>-975000</v>
      </c>
      <c r="Z13" s="39">
        <f>SUM(B13:Y13)</f>
        <v>-23400000</v>
      </c>
      <c r="AA13" s="439">
        <f>Z13</f>
        <v>-23400000</v>
      </c>
      <c r="AB13" s="39">
        <f t="shared" ref="AB13:CE13" si="63">-AB11*$F$37</f>
        <v>-954760.60365430487</v>
      </c>
      <c r="AC13" s="39">
        <f t="shared" si="63"/>
        <v>-942460.35015700536</v>
      </c>
      <c r="AD13" s="39">
        <f t="shared" si="63"/>
        <v>-930067.84475847601</v>
      </c>
      <c r="AE13" s="39">
        <f t="shared" si="63"/>
        <v>-917582.39556945767</v>
      </c>
      <c r="AF13" s="39">
        <f t="shared" si="63"/>
        <v>-905003.30551152176</v>
      </c>
      <c r="AG13" s="39">
        <f t="shared" si="63"/>
        <v>-892329.87227815134</v>
      </c>
      <c r="AH13" s="39">
        <f t="shared" si="63"/>
        <v>-879561.38829553057</v>
      </c>
      <c r="AI13" s="39">
        <f t="shared" si="63"/>
        <v>-866697.14068304014</v>
      </c>
      <c r="AJ13" s="39">
        <f t="shared" si="63"/>
        <v>-853736.41121345607</v>
      </c>
      <c r="AK13" s="39">
        <f t="shared" si="63"/>
        <v>-840678.47627285018</v>
      </c>
      <c r="AL13" s="39">
        <f t="shared" si="63"/>
        <v>-827522.60682018963</v>
      </c>
      <c r="AM13" s="39">
        <f t="shared" si="63"/>
        <v>-814268.06834663427</v>
      </c>
      <c r="AN13" s="39">
        <f t="shared" si="63"/>
        <v>-800914.12083452719</v>
      </c>
      <c r="AO13" s="39">
        <f t="shared" si="63"/>
        <v>-787460.01871607918</v>
      </c>
      <c r="AP13" s="39">
        <f t="shared" si="63"/>
        <v>-773905.01083174301</v>
      </c>
      <c r="AQ13" s="39">
        <f t="shared" si="63"/>
        <v>-760248.34038827417</v>
      </c>
      <c r="AR13" s="39">
        <f t="shared" si="63"/>
        <v>-746489.24491647934</v>
      </c>
      <c r="AS13" s="39">
        <f t="shared" si="63"/>
        <v>-732626.9562286461</v>
      </c>
      <c r="AT13" s="39">
        <f t="shared" si="63"/>
        <v>-718660.70037565404</v>
      </c>
      <c r="AU13" s="39">
        <f t="shared" si="63"/>
        <v>-704589.69760376448</v>
      </c>
      <c r="AV13" s="39">
        <f t="shared" si="63"/>
        <v>-690413.16231108585</v>
      </c>
      <c r="AW13" s="39">
        <f t="shared" si="63"/>
        <v>-676130.30300371209</v>
      </c>
      <c r="AX13" s="39">
        <f t="shared" si="63"/>
        <v>-661740.32225153304</v>
      </c>
      <c r="AY13" s="39">
        <f t="shared" si="63"/>
        <v>-647242.41664371267</v>
      </c>
      <c r="AZ13" s="39">
        <f t="shared" si="63"/>
        <v>-632635.77674383367</v>
      </c>
      <c r="BA13" s="39">
        <f t="shared" si="63"/>
        <v>-617919.58704470552</v>
      </c>
      <c r="BB13" s="39">
        <f t="shared" si="63"/>
        <v>-603093.02592283383</v>
      </c>
      <c r="BC13" s="39">
        <f t="shared" si="63"/>
        <v>-588155.26559254818</v>
      </c>
      <c r="BD13" s="39">
        <f t="shared" si="63"/>
        <v>-573105.47205978539</v>
      </c>
      <c r="BE13" s="39">
        <f t="shared" si="63"/>
        <v>-557942.80507552694</v>
      </c>
      <c r="BF13" s="39">
        <f t="shared" si="63"/>
        <v>-542666.41808888654</v>
      </c>
      <c r="BG13" s="39">
        <f t="shared" si="63"/>
        <v>-527275.45819984633</v>
      </c>
      <c r="BH13" s="39">
        <f t="shared" si="63"/>
        <v>-511769.06611163821</v>
      </c>
      <c r="BI13" s="39">
        <f t="shared" si="63"/>
        <v>-496146.37608276866</v>
      </c>
      <c r="BJ13" s="39">
        <f t="shared" si="63"/>
        <v>-480406.51587868255</v>
      </c>
      <c r="BK13" s="39">
        <f t="shared" si="63"/>
        <v>-464548.60672306578</v>
      </c>
      <c r="BL13" s="39">
        <f t="shared" si="63"/>
        <v>-448571.76324878191</v>
      </c>
      <c r="BM13" s="39">
        <f t="shared" si="63"/>
        <v>-432475.09344844084</v>
      </c>
      <c r="BN13" s="39">
        <f t="shared" si="63"/>
        <v>-416257.69862459728</v>
      </c>
      <c r="BO13" s="39">
        <f t="shared" si="63"/>
        <v>-399918.67333957489</v>
      </c>
      <c r="BP13" s="39">
        <f t="shared" si="63"/>
        <v>-383457.10536491481</v>
      </c>
      <c r="BQ13" s="39">
        <f t="shared" si="63"/>
        <v>-366872.07563044474</v>
      </c>
      <c r="BR13" s="39">
        <f t="shared" si="63"/>
        <v>-350162.65817296621</v>
      </c>
      <c r="BS13" s="39">
        <f t="shared" si="63"/>
        <v>-333327.92008455656</v>
      </c>
      <c r="BT13" s="39">
        <f t="shared" si="63"/>
        <v>-316366.92146048386</v>
      </c>
      <c r="BU13" s="39">
        <f t="shared" si="63"/>
        <v>-299278.71534673061</v>
      </c>
      <c r="BV13" s="39">
        <f t="shared" si="63"/>
        <v>-282062.34768712422</v>
      </c>
      <c r="BW13" s="39">
        <f t="shared" si="63"/>
        <v>-264716.85727007076</v>
      </c>
      <c r="BX13" s="39">
        <f t="shared" si="63"/>
        <v>-247241.27567488939</v>
      </c>
      <c r="BY13" s="39">
        <f t="shared" si="63"/>
        <v>-229634.62721774416</v>
      </c>
      <c r="BZ13" s="39">
        <f t="shared" si="63"/>
        <v>-211895.92889717038</v>
      </c>
      <c r="CA13" s="39">
        <f t="shared" si="63"/>
        <v>-194024.19033919225</v>
      </c>
      <c r="CB13" s="39">
        <f t="shared" si="63"/>
        <v>-176018.41374202931</v>
      </c>
      <c r="CC13" s="39">
        <f t="shared" si="63"/>
        <v>-157877.59382038767</v>
      </c>
      <c r="CD13" s="39">
        <f t="shared" si="63"/>
        <v>-139600.71774933368</v>
      </c>
      <c r="CE13" s="39">
        <f t="shared" si="63"/>
        <v>-121186.76510774679</v>
      </c>
      <c r="CF13" s="39">
        <f t="shared" ref="CF13:CH13" si="64">-CF11*$F$37</f>
        <v>-102634.70782134801</v>
      </c>
      <c r="CG13" s="39">
        <f t="shared" si="64"/>
        <v>-83943.510105301233</v>
      </c>
      <c r="CH13" s="39">
        <f t="shared" si="64"/>
        <v>-65112.128406384109</v>
      </c>
      <c r="CI13" s="39"/>
      <c r="CJ13" s="39"/>
    </row>
    <row r="14" spans="1:88" ht="14.25" customHeight="1" x14ac:dyDescent="0.4">
      <c r="A14" s="24" t="s">
        <v>205</v>
      </c>
      <c r="B14" s="39"/>
      <c r="C14" s="39"/>
      <c r="D14" s="39"/>
      <c r="E14" s="39"/>
      <c r="F14" s="39"/>
      <c r="G14" s="39"/>
      <c r="H14" s="39"/>
      <c r="I14" s="39"/>
      <c r="J14" s="39"/>
      <c r="K14" s="39"/>
      <c r="L14" s="39"/>
      <c r="M14" s="39"/>
      <c r="N14" s="39"/>
      <c r="O14" s="39"/>
      <c r="P14" s="39"/>
      <c r="Q14" s="39"/>
      <c r="R14" s="39"/>
      <c r="S14" s="39"/>
      <c r="T14" s="39"/>
      <c r="U14" s="39"/>
      <c r="V14" s="39"/>
      <c r="W14" s="39"/>
      <c r="X14" s="39"/>
      <c r="Y14" s="39"/>
      <c r="Z14" s="39">
        <v>0</v>
      </c>
      <c r="AA14" s="439">
        <f t="shared" ref="AA14:AB14" si="65">-AA12+AA13</f>
        <v>2698586.1794260219</v>
      </c>
      <c r="AB14" s="439">
        <f t="shared" si="65"/>
        <v>1640033.7996399463</v>
      </c>
      <c r="AC14" s="439">
        <f t="shared" ref="AC14:CF14" si="66">-AC12+AC13</f>
        <v>1652334.0531372461</v>
      </c>
      <c r="AD14" s="439">
        <f t="shared" si="66"/>
        <v>1664726.5585357752</v>
      </c>
      <c r="AE14" s="439">
        <f t="shared" si="66"/>
        <v>1677212.0077247936</v>
      </c>
      <c r="AF14" s="439">
        <f t="shared" si="66"/>
        <v>1689791.0977827297</v>
      </c>
      <c r="AG14" s="439">
        <f t="shared" si="66"/>
        <v>1702464.5310161</v>
      </c>
      <c r="AH14" s="439">
        <f t="shared" si="66"/>
        <v>1715233.0149987207</v>
      </c>
      <c r="AI14" s="439">
        <f t="shared" si="66"/>
        <v>1728097.2626112113</v>
      </c>
      <c r="AJ14" s="439">
        <f t="shared" si="66"/>
        <v>1741057.9920807951</v>
      </c>
      <c r="AK14" s="439">
        <f t="shared" si="66"/>
        <v>1754115.927021401</v>
      </c>
      <c r="AL14" s="439">
        <f t="shared" si="66"/>
        <v>1767271.7964740617</v>
      </c>
      <c r="AM14" s="439">
        <f t="shared" si="66"/>
        <v>1780526.334947617</v>
      </c>
      <c r="AN14" s="439">
        <f t="shared" si="66"/>
        <v>1793880.2824597242</v>
      </c>
      <c r="AO14" s="439">
        <f t="shared" si="66"/>
        <v>1807334.3845781721</v>
      </c>
      <c r="AP14" s="439">
        <f t="shared" si="66"/>
        <v>1820889.3924625083</v>
      </c>
      <c r="AQ14" s="439">
        <f t="shared" si="66"/>
        <v>1834546.062905977</v>
      </c>
      <c r="AR14" s="439">
        <f t="shared" si="66"/>
        <v>1848305.158377772</v>
      </c>
      <c r="AS14" s="439">
        <f t="shared" si="66"/>
        <v>1862167.4470656053</v>
      </c>
      <c r="AT14" s="439">
        <f t="shared" si="66"/>
        <v>1876133.7029185973</v>
      </c>
      <c r="AU14" s="439">
        <f t="shared" si="66"/>
        <v>1890204.7056904868</v>
      </c>
      <c r="AV14" s="439">
        <f t="shared" si="66"/>
        <v>1904381.2409831653</v>
      </c>
      <c r="AW14" s="439">
        <f t="shared" si="66"/>
        <v>1918664.1002905392</v>
      </c>
      <c r="AX14" s="439">
        <f t="shared" si="66"/>
        <v>1933054.0810427181</v>
      </c>
      <c r="AY14" s="439">
        <f t="shared" si="66"/>
        <v>1947551.9866505386</v>
      </c>
      <c r="AZ14" s="439">
        <f t="shared" si="66"/>
        <v>1962158.6265504176</v>
      </c>
      <c r="BA14" s="439">
        <f t="shared" si="66"/>
        <v>1976874.8162495457</v>
      </c>
      <c r="BB14" s="439">
        <f t="shared" si="66"/>
        <v>1991701.3773714174</v>
      </c>
      <c r="BC14" s="439">
        <f t="shared" si="66"/>
        <v>2006639.1377017032</v>
      </c>
      <c r="BD14" s="439">
        <f t="shared" si="66"/>
        <v>2021688.9312344659</v>
      </c>
      <c r="BE14" s="439">
        <f t="shared" si="66"/>
        <v>2036851.5982187244</v>
      </c>
      <c r="BF14" s="439">
        <f t="shared" si="66"/>
        <v>2052127.9852053649</v>
      </c>
      <c r="BG14" s="439">
        <f t="shared" si="66"/>
        <v>2067518.945094405</v>
      </c>
      <c r="BH14" s="439">
        <f t="shared" si="66"/>
        <v>2083025.3371826131</v>
      </c>
      <c r="BI14" s="439">
        <f t="shared" si="66"/>
        <v>2098648.0272114826</v>
      </c>
      <c r="BJ14" s="439">
        <f t="shared" si="66"/>
        <v>2114387.8874155688</v>
      </c>
      <c r="BK14" s="439">
        <f t="shared" si="66"/>
        <v>2130245.7965711853</v>
      </c>
      <c r="BL14" s="439">
        <f t="shared" si="66"/>
        <v>2146222.6400454696</v>
      </c>
      <c r="BM14" s="439">
        <f t="shared" si="66"/>
        <v>2162319.3098458103</v>
      </c>
      <c r="BN14" s="439">
        <f t="shared" si="66"/>
        <v>2178536.7046696539</v>
      </c>
      <c r="BO14" s="439">
        <f t="shared" si="66"/>
        <v>2194875.7299546762</v>
      </c>
      <c r="BP14" s="439">
        <f t="shared" si="66"/>
        <v>2211337.2979293363</v>
      </c>
      <c r="BQ14" s="439">
        <f t="shared" si="66"/>
        <v>2227922.3276638067</v>
      </c>
      <c r="BR14" s="439">
        <f t="shared" si="66"/>
        <v>2244631.7451212853</v>
      </c>
      <c r="BS14" s="439">
        <f t="shared" si="66"/>
        <v>2261466.4832096947</v>
      </c>
      <c r="BT14" s="439">
        <f t="shared" si="66"/>
        <v>2278427.4818337676</v>
      </c>
      <c r="BU14" s="439">
        <f t="shared" si="66"/>
        <v>2295515.6879475205</v>
      </c>
      <c r="BV14" s="439">
        <f t="shared" si="66"/>
        <v>2312732.055607127</v>
      </c>
      <c r="BW14" s="439">
        <f t="shared" si="66"/>
        <v>2330077.5460241805</v>
      </c>
      <c r="BX14" s="439">
        <f t="shared" si="66"/>
        <v>2347553.127619362</v>
      </c>
      <c r="BY14" s="439">
        <f t="shared" si="66"/>
        <v>2365159.7760765073</v>
      </c>
      <c r="BZ14" s="439">
        <f t="shared" si="66"/>
        <v>2382898.474397081</v>
      </c>
      <c r="CA14" s="439">
        <f t="shared" si="66"/>
        <v>2400770.212955059</v>
      </c>
      <c r="CB14" s="439">
        <f t="shared" si="66"/>
        <v>2418775.9895522222</v>
      </c>
      <c r="CC14" s="439">
        <f t="shared" si="66"/>
        <v>2436916.8094738638</v>
      </c>
      <c r="CD14" s="439">
        <f t="shared" si="66"/>
        <v>2455193.6855449178</v>
      </c>
      <c r="CE14" s="439">
        <f t="shared" si="66"/>
        <v>2473607.6381865046</v>
      </c>
      <c r="CF14" s="439">
        <f t="shared" si="66"/>
        <v>2492159.6954729031</v>
      </c>
      <c r="CG14" s="439">
        <f t="shared" ref="CG14" si="67">-CG12+CG13</f>
        <v>2510850.8931889501</v>
      </c>
      <c r="CH14" s="439">
        <v>8681617</v>
      </c>
      <c r="CI14" s="547"/>
      <c r="CJ14" s="547"/>
    </row>
    <row r="15" spans="1:88" ht="13.5" customHeight="1" x14ac:dyDescent="0.4">
      <c r="A15" s="24" t="s">
        <v>206</v>
      </c>
      <c r="B15" s="39">
        <f t="shared" ref="B15:AB15" si="68">B11-B14</f>
        <v>130000000</v>
      </c>
      <c r="C15" s="39">
        <f t="shared" si="68"/>
        <v>130000000</v>
      </c>
      <c r="D15" s="39">
        <f t="shared" si="68"/>
        <v>130000000</v>
      </c>
      <c r="E15" s="39">
        <f t="shared" si="68"/>
        <v>130000000</v>
      </c>
      <c r="F15" s="39">
        <f t="shared" si="68"/>
        <v>130000000</v>
      </c>
      <c r="G15" s="39">
        <f t="shared" si="68"/>
        <v>130000000</v>
      </c>
      <c r="H15" s="39">
        <f t="shared" si="68"/>
        <v>130000000</v>
      </c>
      <c r="I15" s="39">
        <f t="shared" si="68"/>
        <v>130000000</v>
      </c>
      <c r="J15" s="39">
        <f t="shared" si="68"/>
        <v>130000000</v>
      </c>
      <c r="K15" s="39">
        <f t="shared" si="68"/>
        <v>130000000</v>
      </c>
      <c r="L15" s="39">
        <f t="shared" si="68"/>
        <v>130000000</v>
      </c>
      <c r="M15" s="39">
        <f t="shared" si="68"/>
        <v>130000000</v>
      </c>
      <c r="N15" s="39">
        <f t="shared" si="68"/>
        <v>130000000</v>
      </c>
      <c r="O15" s="39">
        <f t="shared" si="68"/>
        <v>130000000</v>
      </c>
      <c r="P15" s="39">
        <f t="shared" si="68"/>
        <v>130000000</v>
      </c>
      <c r="Q15" s="39">
        <f t="shared" si="68"/>
        <v>130000000</v>
      </c>
      <c r="R15" s="39">
        <f t="shared" si="68"/>
        <v>130000000</v>
      </c>
      <c r="S15" s="39">
        <f t="shared" si="68"/>
        <v>130000000</v>
      </c>
      <c r="T15" s="39">
        <f t="shared" si="68"/>
        <v>130000000</v>
      </c>
      <c r="U15" s="39">
        <f t="shared" si="68"/>
        <v>130000000</v>
      </c>
      <c r="V15" s="39">
        <f t="shared" si="68"/>
        <v>130000000</v>
      </c>
      <c r="W15" s="39">
        <f t="shared" si="68"/>
        <v>130000000</v>
      </c>
      <c r="X15" s="39">
        <f t="shared" si="68"/>
        <v>130000000</v>
      </c>
      <c r="Y15" s="39">
        <f t="shared" si="68"/>
        <v>130000000</v>
      </c>
      <c r="Z15" s="39">
        <f t="shared" si="68"/>
        <v>130000000</v>
      </c>
      <c r="AA15" s="439">
        <f t="shared" si="68"/>
        <v>127301413.82057399</v>
      </c>
      <c r="AB15" s="439">
        <f t="shared" si="68"/>
        <v>125661380.02093405</v>
      </c>
      <c r="AC15" s="439">
        <f t="shared" ref="AC15:CF15" si="69">AC11-AC14</f>
        <v>124009045.9677968</v>
      </c>
      <c r="AD15" s="439">
        <f t="shared" si="69"/>
        <v>122344319.40926103</v>
      </c>
      <c r="AE15" s="439">
        <f t="shared" si="69"/>
        <v>120667107.40153624</v>
      </c>
      <c r="AF15" s="439">
        <f t="shared" si="69"/>
        <v>118977316.30375351</v>
      </c>
      <c r="AG15" s="439">
        <f t="shared" si="69"/>
        <v>117274851.77273741</v>
      </c>
      <c r="AH15" s="439">
        <f t="shared" si="69"/>
        <v>115559618.75773869</v>
      </c>
      <c r="AI15" s="439">
        <f t="shared" si="69"/>
        <v>113831521.49512748</v>
      </c>
      <c r="AJ15" s="439">
        <f t="shared" si="69"/>
        <v>112090463.50304669</v>
      </c>
      <c r="AK15" s="439">
        <f t="shared" si="69"/>
        <v>110336347.57602529</v>
      </c>
      <c r="AL15" s="439">
        <f t="shared" si="69"/>
        <v>108569075.77955124</v>
      </c>
      <c r="AM15" s="439">
        <f t="shared" si="69"/>
        <v>106788549.44460362</v>
      </c>
      <c r="AN15" s="439">
        <f t="shared" si="69"/>
        <v>104994669.1621439</v>
      </c>
      <c r="AO15" s="439">
        <f t="shared" si="69"/>
        <v>103187334.77756573</v>
      </c>
      <c r="AP15" s="439">
        <f t="shared" si="69"/>
        <v>101366445.38510323</v>
      </c>
      <c r="AQ15" s="439">
        <f t="shared" si="69"/>
        <v>99531899.322197244</v>
      </c>
      <c r="AR15" s="439">
        <f t="shared" si="69"/>
        <v>97683594.163819477</v>
      </c>
      <c r="AS15" s="439">
        <f t="shared" si="69"/>
        <v>95821426.71675387</v>
      </c>
      <c r="AT15" s="439">
        <f t="shared" si="69"/>
        <v>93945293.013835266</v>
      </c>
      <c r="AU15" s="439">
        <f t="shared" si="69"/>
        <v>92055088.308144778</v>
      </c>
      <c r="AV15" s="439">
        <f t="shared" si="69"/>
        <v>90150707.06716162</v>
      </c>
      <c r="AW15" s="439">
        <f t="shared" si="69"/>
        <v>88232042.966871083</v>
      </c>
      <c r="AX15" s="439">
        <f t="shared" si="69"/>
        <v>86298988.885828361</v>
      </c>
      <c r="AY15" s="439">
        <f t="shared" si="69"/>
        <v>84351436.899177819</v>
      </c>
      <c r="AZ15" s="439">
        <f t="shared" si="69"/>
        <v>82389278.272627398</v>
      </c>
      <c r="BA15" s="439">
        <f t="shared" si="69"/>
        <v>80412403.456377849</v>
      </c>
      <c r="BB15" s="439">
        <f t="shared" si="69"/>
        <v>78420702.079006433</v>
      </c>
      <c r="BC15" s="439">
        <f t="shared" si="69"/>
        <v>76414062.941304728</v>
      </c>
      <c r="BD15" s="439">
        <f t="shared" si="69"/>
        <v>74392374.010070264</v>
      </c>
      <c r="BE15" s="439">
        <f t="shared" si="69"/>
        <v>72355522.41185154</v>
      </c>
      <c r="BF15" s="439">
        <f t="shared" si="69"/>
        <v>70303394.426646173</v>
      </c>
      <c r="BG15" s="439">
        <f t="shared" si="69"/>
        <v>68235875.481551766</v>
      </c>
      <c r="BH15" s="439">
        <f t="shared" si="69"/>
        <v>66152850.144369155</v>
      </c>
      <c r="BI15" s="439">
        <f t="shared" si="69"/>
        <v>64054202.117157675</v>
      </c>
      <c r="BJ15" s="439">
        <f t="shared" si="69"/>
        <v>61939814.22974211</v>
      </c>
      <c r="BK15" s="439">
        <f t="shared" si="69"/>
        <v>59809568.433170922</v>
      </c>
      <c r="BL15" s="439">
        <f t="shared" si="69"/>
        <v>57663345.793125451</v>
      </c>
      <c r="BM15" s="439">
        <f t="shared" si="69"/>
        <v>55501026.483279638</v>
      </c>
      <c r="BN15" s="439">
        <f t="shared" si="69"/>
        <v>53322489.778609984</v>
      </c>
      <c r="BO15" s="439">
        <f t="shared" si="69"/>
        <v>51127614.048655309</v>
      </c>
      <c r="BP15" s="439">
        <f t="shared" si="69"/>
        <v>48916276.75072597</v>
      </c>
      <c r="BQ15" s="439">
        <f t="shared" si="69"/>
        <v>46688354.423062161</v>
      </c>
      <c r="BR15" s="439">
        <f t="shared" si="69"/>
        <v>44443722.677940875</v>
      </c>
      <c r="BS15" s="439">
        <f t="shared" si="69"/>
        <v>42182256.194731183</v>
      </c>
      <c r="BT15" s="439">
        <f t="shared" si="69"/>
        <v>39903828.712897412</v>
      </c>
      <c r="BU15" s="439">
        <f t="shared" si="69"/>
        <v>37608313.024949893</v>
      </c>
      <c r="BV15" s="439">
        <f t="shared" si="69"/>
        <v>35295580.969342768</v>
      </c>
      <c r="BW15" s="439">
        <f t="shared" si="69"/>
        <v>32965503.423318587</v>
      </c>
      <c r="BX15" s="439">
        <f t="shared" si="69"/>
        <v>30617950.295699224</v>
      </c>
      <c r="BY15" s="439">
        <f t="shared" si="69"/>
        <v>28252790.519622717</v>
      </c>
      <c r="BZ15" s="439">
        <f t="shared" si="69"/>
        <v>25869892.045225635</v>
      </c>
      <c r="CA15" s="439">
        <f t="shared" si="69"/>
        <v>23469121.832270578</v>
      </c>
      <c r="CB15" s="439">
        <f t="shared" si="69"/>
        <v>21050345.842718355</v>
      </c>
      <c r="CC15" s="439">
        <f t="shared" si="69"/>
        <v>18613429.033244491</v>
      </c>
      <c r="CD15" s="439">
        <f t="shared" si="69"/>
        <v>16158235.347699573</v>
      </c>
      <c r="CE15" s="439">
        <f t="shared" si="69"/>
        <v>13684627.709513068</v>
      </c>
      <c r="CF15" s="439">
        <f t="shared" si="69"/>
        <v>11192468.014040165</v>
      </c>
      <c r="CG15" s="439">
        <f t="shared" ref="CG15" si="70">CG11-CG14</f>
        <v>8681617.120851215</v>
      </c>
      <c r="CH15" s="439">
        <v>0</v>
      </c>
      <c r="CI15" s="547"/>
      <c r="CJ15" s="547"/>
    </row>
    <row r="16" spans="1:88" ht="14.25" customHeight="1" x14ac:dyDescent="0.4">
      <c r="A16" s="148"/>
      <c r="B16" s="148"/>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8"/>
      <c r="AG16" s="148"/>
      <c r="AH16" s="148"/>
      <c r="AI16" s="148"/>
      <c r="AJ16" s="148"/>
      <c r="AK16" s="148"/>
      <c r="AL16" s="148"/>
      <c r="AM16" s="148"/>
      <c r="AN16" s="148"/>
      <c r="AO16" s="148"/>
      <c r="AP16" s="148"/>
      <c r="AQ16" s="148"/>
      <c r="AR16" s="148"/>
      <c r="AS16" s="148"/>
      <c r="AT16" s="148"/>
      <c r="AU16" s="148"/>
      <c r="AV16" s="148"/>
      <c r="AW16" s="148"/>
      <c r="AX16" s="148"/>
      <c r="AY16" s="148"/>
      <c r="AZ16" s="148"/>
      <c r="BA16" s="148"/>
      <c r="BB16" s="148"/>
      <c r="BC16" s="148"/>
      <c r="BD16" s="148"/>
      <c r="BE16" s="148"/>
      <c r="BF16" s="148"/>
      <c r="BG16" s="148"/>
      <c r="BH16" s="148"/>
      <c r="BI16" s="148"/>
      <c r="BJ16" s="148"/>
      <c r="BK16" s="148"/>
      <c r="BL16" s="148"/>
      <c r="BM16" s="148"/>
      <c r="BN16" s="148"/>
      <c r="BO16" s="148"/>
      <c r="BP16" s="148"/>
      <c r="BQ16" s="148"/>
      <c r="BR16" s="148"/>
      <c r="BS16" s="148"/>
      <c r="BT16" s="148"/>
      <c r="BU16" s="148"/>
      <c r="BV16" s="148"/>
      <c r="BW16" s="148"/>
      <c r="BX16" s="148"/>
      <c r="BY16" s="148"/>
      <c r="BZ16" s="148"/>
      <c r="CA16" s="148"/>
      <c r="CB16" s="148"/>
      <c r="CC16" s="148"/>
      <c r="CD16" s="148"/>
      <c r="CE16" s="148"/>
      <c r="CF16" s="148"/>
      <c r="CG16" s="148"/>
      <c r="CH16" s="148"/>
      <c r="CI16" s="186"/>
      <c r="CJ16" s="186"/>
    </row>
    <row r="17" spans="1:26" ht="14.25" hidden="1" customHeight="1" x14ac:dyDescent="0.4"/>
    <row r="18" spans="1:26" ht="14.25" hidden="1" customHeight="1" thickBot="1" x14ac:dyDescent="0.45">
      <c r="A18" s="633" t="s">
        <v>189</v>
      </c>
      <c r="B18" s="634"/>
      <c r="C18" s="24"/>
    </row>
    <row r="19" spans="1:26" ht="14.25" hidden="1" customHeight="1" x14ac:dyDescent="0.4">
      <c r="A19" s="132" t="s">
        <v>207</v>
      </c>
      <c r="B19" s="71"/>
      <c r="C19" s="24"/>
    </row>
    <row r="20" spans="1:26" ht="14.25" hidden="1" customHeight="1" x14ac:dyDescent="0.4">
      <c r="A20" s="131" t="s">
        <v>191</v>
      </c>
      <c r="B20" s="70"/>
      <c r="C20" s="142">
        <f>'Budget First 84 months'!F20</f>
        <v>0</v>
      </c>
      <c r="E20" t="s">
        <v>192</v>
      </c>
      <c r="F20" t="s">
        <v>193</v>
      </c>
    </row>
    <row r="21" spans="1:26" ht="14.25" hidden="1" customHeight="1" x14ac:dyDescent="0.4">
      <c r="A21" s="131" t="s">
        <v>194</v>
      </c>
      <c r="B21" s="70"/>
      <c r="C21" s="143">
        <v>7</v>
      </c>
      <c r="E21" t="s">
        <v>195</v>
      </c>
      <c r="F21" s="38">
        <v>60</v>
      </c>
    </row>
    <row r="22" spans="1:26" ht="14.25" hidden="1" customHeight="1" x14ac:dyDescent="0.4">
      <c r="A22" t="s">
        <v>196</v>
      </c>
      <c r="C22" s="144">
        <v>0.09</v>
      </c>
      <c r="E22" t="s">
        <v>197</v>
      </c>
      <c r="F22" s="145">
        <f>C22/12</f>
        <v>7.4999999999999997E-3</v>
      </c>
    </row>
    <row r="23" spans="1:26" ht="14.25" hidden="1" customHeight="1" x14ac:dyDescent="0.4">
      <c r="A23" t="s">
        <v>198</v>
      </c>
      <c r="C23" s="146" t="s">
        <v>208</v>
      </c>
      <c r="E23" t="s">
        <v>200</v>
      </c>
      <c r="F23" s="147">
        <f>PMT(F22,F21,-C20,0)</f>
        <v>0</v>
      </c>
    </row>
    <row r="24" spans="1:26" ht="15" hidden="1" customHeight="1" x14ac:dyDescent="0.4"/>
    <row r="25" spans="1:26" ht="14.25" hidden="1" customHeight="1" x14ac:dyDescent="0.4">
      <c r="A25" s="71" t="s">
        <v>172</v>
      </c>
      <c r="B25" s="71">
        <v>4</v>
      </c>
      <c r="C25" s="71">
        <v>5</v>
      </c>
      <c r="D25" s="71">
        <v>6</v>
      </c>
      <c r="E25" s="71">
        <v>7</v>
      </c>
      <c r="F25" s="71">
        <v>8</v>
      </c>
      <c r="G25" s="71">
        <v>9</v>
      </c>
      <c r="H25" s="71">
        <v>10</v>
      </c>
      <c r="I25" s="71">
        <v>11</v>
      </c>
      <c r="J25" s="71">
        <v>12</v>
      </c>
      <c r="K25" s="71">
        <v>13</v>
      </c>
      <c r="L25" s="71">
        <v>14</v>
      </c>
      <c r="M25" s="71">
        <v>15</v>
      </c>
      <c r="N25" s="71">
        <v>16</v>
      </c>
      <c r="O25" s="71">
        <v>17</v>
      </c>
      <c r="P25" s="71">
        <v>18</v>
      </c>
      <c r="Q25" s="71">
        <v>19</v>
      </c>
      <c r="R25" s="71">
        <v>20</v>
      </c>
      <c r="S25" s="71">
        <v>21</v>
      </c>
      <c r="T25" s="71">
        <v>22</v>
      </c>
      <c r="U25" s="71">
        <v>23</v>
      </c>
      <c r="V25" s="71">
        <v>24</v>
      </c>
      <c r="W25" s="71">
        <v>25</v>
      </c>
      <c r="X25" s="71">
        <v>26</v>
      </c>
      <c r="Y25" s="71">
        <v>27</v>
      </c>
      <c r="Z25" s="71"/>
    </row>
    <row r="26" spans="1:26" ht="16.5" hidden="1" customHeight="1" x14ac:dyDescent="0.4">
      <c r="A26" s="24" t="s">
        <v>202</v>
      </c>
      <c r="B26" s="39">
        <f>C20</f>
        <v>0</v>
      </c>
      <c r="C26" s="39">
        <f t="shared" ref="C26:Y26" si="71">B30</f>
        <v>0</v>
      </c>
      <c r="D26" s="39">
        <f t="shared" si="71"/>
        <v>0</v>
      </c>
      <c r="E26" s="39">
        <f t="shared" si="71"/>
        <v>0</v>
      </c>
      <c r="F26" s="39">
        <f t="shared" si="71"/>
        <v>0</v>
      </c>
      <c r="G26" s="39">
        <f t="shared" si="71"/>
        <v>0</v>
      </c>
      <c r="H26" s="39">
        <f t="shared" si="71"/>
        <v>0</v>
      </c>
      <c r="I26" s="39">
        <f t="shared" si="71"/>
        <v>0</v>
      </c>
      <c r="J26" s="39">
        <f t="shared" si="71"/>
        <v>0</v>
      </c>
      <c r="K26" s="39">
        <f t="shared" si="71"/>
        <v>0</v>
      </c>
      <c r="L26" s="39">
        <f t="shared" si="71"/>
        <v>0</v>
      </c>
      <c r="M26" s="39">
        <f t="shared" si="71"/>
        <v>0</v>
      </c>
      <c r="N26" s="39">
        <f t="shared" si="71"/>
        <v>0</v>
      </c>
      <c r="O26" s="39">
        <f t="shared" si="71"/>
        <v>0</v>
      </c>
      <c r="P26" s="39">
        <f t="shared" si="71"/>
        <v>0</v>
      </c>
      <c r="Q26" s="39">
        <f t="shared" si="71"/>
        <v>0</v>
      </c>
      <c r="R26" s="39">
        <f t="shared" si="71"/>
        <v>0</v>
      </c>
      <c r="S26" s="39">
        <f t="shared" si="71"/>
        <v>0</v>
      </c>
      <c r="T26" s="39">
        <f t="shared" si="71"/>
        <v>0</v>
      </c>
      <c r="U26" s="39">
        <f t="shared" si="71"/>
        <v>0</v>
      </c>
      <c r="V26" s="39">
        <f t="shared" si="71"/>
        <v>0</v>
      </c>
      <c r="W26" s="39">
        <f t="shared" si="71"/>
        <v>0</v>
      </c>
      <c r="X26" s="39">
        <f t="shared" si="71"/>
        <v>0</v>
      </c>
      <c r="Y26" s="39">
        <f t="shared" si="71"/>
        <v>0</v>
      </c>
      <c r="Z26" s="39"/>
    </row>
    <row r="27" spans="1:26" ht="14.25" hidden="1" customHeight="1" x14ac:dyDescent="0.4">
      <c r="A27" s="24" t="s">
        <v>203</v>
      </c>
      <c r="B27" s="39"/>
      <c r="C27" s="39"/>
      <c r="D27" s="39"/>
      <c r="E27" s="39"/>
      <c r="F27" s="39"/>
      <c r="G27" s="39"/>
      <c r="H27" s="39"/>
      <c r="I27" s="39"/>
      <c r="J27" s="39"/>
      <c r="K27" s="39"/>
      <c r="L27" s="39"/>
      <c r="M27" s="39"/>
      <c r="N27" s="39"/>
      <c r="O27" s="39"/>
      <c r="P27" s="39"/>
      <c r="Q27" s="39"/>
      <c r="R27" s="39"/>
      <c r="S27" s="39"/>
      <c r="T27" s="39"/>
      <c r="U27" s="39"/>
      <c r="V27" s="39"/>
      <c r="W27" s="39"/>
      <c r="X27" s="39"/>
      <c r="Y27" s="39"/>
      <c r="Z27" s="39"/>
    </row>
    <row r="28" spans="1:26" ht="14.25" hidden="1" customHeight="1" x14ac:dyDescent="0.4">
      <c r="A28" s="24" t="s">
        <v>204</v>
      </c>
      <c r="B28" s="39">
        <f t="shared" ref="B28:Y28" si="72">-B26*$F$110</f>
        <v>0</v>
      </c>
      <c r="C28" s="39">
        <f t="shared" si="72"/>
        <v>0</v>
      </c>
      <c r="D28" s="39">
        <f t="shared" si="72"/>
        <v>0</v>
      </c>
      <c r="E28" s="39">
        <f t="shared" si="72"/>
        <v>0</v>
      </c>
      <c r="F28" s="39">
        <f t="shared" si="72"/>
        <v>0</v>
      </c>
      <c r="G28" s="39">
        <f t="shared" si="72"/>
        <v>0</v>
      </c>
      <c r="H28" s="39">
        <f t="shared" si="72"/>
        <v>0</v>
      </c>
      <c r="I28" s="39">
        <f t="shared" si="72"/>
        <v>0</v>
      </c>
      <c r="J28" s="39">
        <f t="shared" si="72"/>
        <v>0</v>
      </c>
      <c r="K28" s="39">
        <f t="shared" si="72"/>
        <v>0</v>
      </c>
      <c r="L28" s="39">
        <f t="shared" si="72"/>
        <v>0</v>
      </c>
      <c r="M28" s="39">
        <f t="shared" si="72"/>
        <v>0</v>
      </c>
      <c r="N28" s="39">
        <f t="shared" si="72"/>
        <v>0</v>
      </c>
      <c r="O28" s="39">
        <f t="shared" si="72"/>
        <v>0</v>
      </c>
      <c r="P28" s="39">
        <f t="shared" si="72"/>
        <v>0</v>
      </c>
      <c r="Q28" s="39">
        <f t="shared" si="72"/>
        <v>0</v>
      </c>
      <c r="R28" s="39">
        <f t="shared" si="72"/>
        <v>0</v>
      </c>
      <c r="S28" s="39">
        <f t="shared" si="72"/>
        <v>0</v>
      </c>
      <c r="T28" s="39">
        <f t="shared" si="72"/>
        <v>0</v>
      </c>
      <c r="U28" s="39">
        <f t="shared" si="72"/>
        <v>0</v>
      </c>
      <c r="V28" s="39">
        <f t="shared" si="72"/>
        <v>0</v>
      </c>
      <c r="W28" s="39">
        <f t="shared" si="72"/>
        <v>0</v>
      </c>
      <c r="X28" s="39">
        <f t="shared" si="72"/>
        <v>0</v>
      </c>
      <c r="Y28" s="39">
        <f t="shared" si="72"/>
        <v>0</v>
      </c>
      <c r="Z28" s="39">
        <f>SUM(B28:Y28)</f>
        <v>0</v>
      </c>
    </row>
    <row r="29" spans="1:26" ht="14.25" hidden="1" customHeight="1" x14ac:dyDescent="0.4">
      <c r="A29" s="24" t="s">
        <v>205</v>
      </c>
      <c r="B29" s="39"/>
      <c r="C29" s="39"/>
      <c r="D29" s="39"/>
      <c r="E29" s="39"/>
      <c r="F29" s="39"/>
      <c r="G29" s="39"/>
      <c r="H29" s="39"/>
      <c r="I29" s="39"/>
      <c r="J29" s="39"/>
      <c r="K29" s="39"/>
      <c r="L29" s="39"/>
      <c r="M29" s="39"/>
      <c r="N29" s="39"/>
      <c r="O29" s="39"/>
      <c r="P29" s="39"/>
      <c r="Q29" s="39"/>
      <c r="R29" s="39"/>
      <c r="S29" s="39"/>
      <c r="T29" s="39"/>
      <c r="U29" s="39"/>
      <c r="V29" s="39"/>
      <c r="W29" s="39"/>
      <c r="X29" s="39"/>
      <c r="Y29" s="39"/>
      <c r="Z29" s="39"/>
    </row>
    <row r="30" spans="1:26" ht="13.5" hidden="1" customHeight="1" x14ac:dyDescent="0.4">
      <c r="A30" s="24" t="s">
        <v>206</v>
      </c>
      <c r="B30" s="39">
        <f t="shared" ref="B30:Y30" si="73">B26-B29</f>
        <v>0</v>
      </c>
      <c r="C30" s="39">
        <f t="shared" si="73"/>
        <v>0</v>
      </c>
      <c r="D30" s="39">
        <f t="shared" si="73"/>
        <v>0</v>
      </c>
      <c r="E30" s="39">
        <f t="shared" si="73"/>
        <v>0</v>
      </c>
      <c r="F30" s="39">
        <f t="shared" si="73"/>
        <v>0</v>
      </c>
      <c r="G30" s="39">
        <f t="shared" si="73"/>
        <v>0</v>
      </c>
      <c r="H30" s="39">
        <f t="shared" si="73"/>
        <v>0</v>
      </c>
      <c r="I30" s="39">
        <f t="shared" si="73"/>
        <v>0</v>
      </c>
      <c r="J30" s="39">
        <f t="shared" si="73"/>
        <v>0</v>
      </c>
      <c r="K30" s="39">
        <f t="shared" si="73"/>
        <v>0</v>
      </c>
      <c r="L30" s="39">
        <f t="shared" si="73"/>
        <v>0</v>
      </c>
      <c r="M30" s="39">
        <f t="shared" si="73"/>
        <v>0</v>
      </c>
      <c r="N30" s="39">
        <f t="shared" si="73"/>
        <v>0</v>
      </c>
      <c r="O30" s="39">
        <f t="shared" si="73"/>
        <v>0</v>
      </c>
      <c r="P30" s="39">
        <f t="shared" si="73"/>
        <v>0</v>
      </c>
      <c r="Q30" s="39">
        <f t="shared" si="73"/>
        <v>0</v>
      </c>
      <c r="R30" s="39">
        <f t="shared" si="73"/>
        <v>0</v>
      </c>
      <c r="S30" s="39">
        <f t="shared" si="73"/>
        <v>0</v>
      </c>
      <c r="T30" s="39">
        <f t="shared" si="73"/>
        <v>0</v>
      </c>
      <c r="U30" s="39">
        <f t="shared" si="73"/>
        <v>0</v>
      </c>
      <c r="V30" s="39">
        <f t="shared" si="73"/>
        <v>0</v>
      </c>
      <c r="W30" s="39">
        <f t="shared" si="73"/>
        <v>0</v>
      </c>
      <c r="X30" s="39">
        <f t="shared" si="73"/>
        <v>0</v>
      </c>
      <c r="Y30" s="39">
        <f t="shared" si="73"/>
        <v>0</v>
      </c>
      <c r="Z30" s="39"/>
    </row>
    <row r="31" spans="1:26" ht="14.25" hidden="1" customHeight="1" x14ac:dyDescent="0.4">
      <c r="A31" s="148"/>
      <c r="B31" s="148"/>
      <c r="C31" s="148"/>
      <c r="D31" s="148"/>
      <c r="E31" s="148"/>
      <c r="F31" s="148"/>
      <c r="G31" s="148"/>
      <c r="H31" s="148"/>
      <c r="I31" s="148"/>
      <c r="J31" s="148"/>
      <c r="K31" s="148"/>
      <c r="L31" s="148"/>
      <c r="M31" s="148"/>
      <c r="N31" s="148"/>
      <c r="O31" s="148"/>
      <c r="P31" s="148"/>
      <c r="Q31" s="148"/>
      <c r="R31" s="148"/>
      <c r="S31" s="148"/>
      <c r="T31" s="148"/>
      <c r="U31" s="148"/>
      <c r="V31" s="148"/>
      <c r="W31" s="148"/>
      <c r="X31" s="148"/>
      <c r="Y31" s="148"/>
      <c r="Z31" s="148"/>
    </row>
    <row r="32" spans="1:26" ht="14.25" customHeight="1" x14ac:dyDescent="0.4"/>
    <row r="33" spans="1:84" ht="14.25" customHeight="1" thickBot="1" x14ac:dyDescent="0.45">
      <c r="A33" s="633" t="s">
        <v>189</v>
      </c>
      <c r="B33" s="634"/>
      <c r="C33" s="24"/>
    </row>
    <row r="34" spans="1:84" ht="14.25" customHeight="1" x14ac:dyDescent="0.4">
      <c r="A34" s="132" t="s">
        <v>209</v>
      </c>
      <c r="B34" s="71"/>
      <c r="C34" s="24"/>
    </row>
    <row r="35" spans="1:84" ht="14.25" customHeight="1" x14ac:dyDescent="0.4">
      <c r="A35" s="131" t="s">
        <v>191</v>
      </c>
      <c r="B35" s="70"/>
      <c r="C35" s="142">
        <f>'Budget First 84 months'!G20</f>
        <v>125000000</v>
      </c>
      <c r="E35" t="s">
        <v>192</v>
      </c>
      <c r="F35" t="s">
        <v>193</v>
      </c>
    </row>
    <row r="36" spans="1:84" ht="14.25" customHeight="1" x14ac:dyDescent="0.4">
      <c r="A36" s="131" t="s">
        <v>194</v>
      </c>
      <c r="B36" s="70"/>
      <c r="C36" s="143">
        <v>7</v>
      </c>
      <c r="E36" t="s">
        <v>195</v>
      </c>
      <c r="F36" s="38">
        <v>60</v>
      </c>
    </row>
    <row r="37" spans="1:84" ht="14.25" customHeight="1" x14ac:dyDescent="0.4">
      <c r="A37" t="s">
        <v>196</v>
      </c>
      <c r="C37" s="144">
        <v>0.09</v>
      </c>
      <c r="E37" t="s">
        <v>197</v>
      </c>
      <c r="F37" s="145">
        <f>C37/12</f>
        <v>7.4999999999999997E-3</v>
      </c>
    </row>
    <row r="38" spans="1:84" ht="14.25" customHeight="1" x14ac:dyDescent="0.4">
      <c r="A38" t="s">
        <v>198</v>
      </c>
      <c r="C38" s="146" t="s">
        <v>208</v>
      </c>
      <c r="E38" t="s">
        <v>200</v>
      </c>
      <c r="F38" s="147">
        <f>PMT(F37,F36,-C35,0)</f>
        <v>2594794.4032942513</v>
      </c>
    </row>
    <row r="40" spans="1:84" ht="14.25" customHeight="1" x14ac:dyDescent="0.4">
      <c r="A40" s="71" t="s">
        <v>172</v>
      </c>
      <c r="B40" s="71">
        <v>4</v>
      </c>
      <c r="C40" s="71">
        <v>5</v>
      </c>
      <c r="D40" s="71">
        <v>6</v>
      </c>
      <c r="E40" s="71">
        <v>7</v>
      </c>
      <c r="F40" s="71">
        <v>8</v>
      </c>
      <c r="G40" s="71">
        <v>9</v>
      </c>
      <c r="H40" s="71">
        <v>10</v>
      </c>
      <c r="I40" s="71">
        <v>11</v>
      </c>
      <c r="J40" s="71">
        <v>12</v>
      </c>
      <c r="K40" s="71">
        <v>13</v>
      </c>
      <c r="L40" s="71">
        <v>14</v>
      </c>
      <c r="M40" s="71">
        <v>15</v>
      </c>
      <c r="N40" s="71">
        <v>16</v>
      </c>
      <c r="O40" s="71">
        <v>17</v>
      </c>
      <c r="P40" s="71">
        <v>18</v>
      </c>
      <c r="Q40" s="71">
        <v>19</v>
      </c>
      <c r="R40" s="71">
        <v>20</v>
      </c>
      <c r="S40" s="71">
        <v>21</v>
      </c>
      <c r="T40" s="71">
        <v>22</v>
      </c>
      <c r="U40" s="71">
        <v>23</v>
      </c>
      <c r="V40" s="71">
        <v>24</v>
      </c>
      <c r="W40" s="71">
        <v>25</v>
      </c>
      <c r="X40" s="71">
        <v>26</v>
      </c>
      <c r="Y40" s="71">
        <v>27</v>
      </c>
      <c r="Z40" s="544"/>
      <c r="AA40" s="544">
        <v>27</v>
      </c>
      <c r="AB40" s="544">
        <v>28</v>
      </c>
      <c r="AC40" s="544">
        <v>29</v>
      </c>
      <c r="AD40" s="544">
        <v>30</v>
      </c>
      <c r="AE40" s="544">
        <v>31</v>
      </c>
      <c r="AF40" s="544">
        <v>32</v>
      </c>
      <c r="AG40" s="544">
        <v>33</v>
      </c>
      <c r="AH40" s="544">
        <v>34</v>
      </c>
      <c r="AI40" s="544">
        <v>35</v>
      </c>
      <c r="AJ40" s="544">
        <v>36</v>
      </c>
      <c r="AK40" s="544">
        <v>37</v>
      </c>
      <c r="AL40" s="544">
        <v>38</v>
      </c>
      <c r="AM40" s="544">
        <v>39</v>
      </c>
      <c r="AN40" s="544">
        <v>40</v>
      </c>
      <c r="AO40" s="544">
        <v>41</v>
      </c>
      <c r="AP40" s="544">
        <v>42</v>
      </c>
      <c r="AQ40" s="544">
        <v>43</v>
      </c>
      <c r="AR40" s="544">
        <v>44</v>
      </c>
      <c r="AS40" s="544">
        <v>45</v>
      </c>
      <c r="AT40" s="544">
        <v>46</v>
      </c>
      <c r="AU40" s="544">
        <v>47</v>
      </c>
      <c r="AV40" s="544">
        <v>48</v>
      </c>
      <c r="AW40" s="544">
        <v>49</v>
      </c>
      <c r="AX40" s="544">
        <v>50</v>
      </c>
      <c r="AY40" s="544">
        <v>51</v>
      </c>
      <c r="AZ40" s="544">
        <v>52</v>
      </c>
      <c r="BA40" s="544">
        <v>53</v>
      </c>
      <c r="BB40" s="544">
        <v>54</v>
      </c>
      <c r="BC40" s="544">
        <v>55</v>
      </c>
      <c r="BD40" s="544">
        <v>56</v>
      </c>
      <c r="BE40" s="544">
        <v>57</v>
      </c>
      <c r="BF40" s="544">
        <v>58</v>
      </c>
      <c r="BG40" s="544">
        <v>59</v>
      </c>
      <c r="BH40" s="544">
        <v>60</v>
      </c>
      <c r="BI40" s="544">
        <v>61</v>
      </c>
      <c r="BJ40" s="544">
        <v>62</v>
      </c>
      <c r="BK40" s="544">
        <v>63</v>
      </c>
      <c r="BL40" s="544">
        <v>64</v>
      </c>
      <c r="BM40" s="544">
        <v>65</v>
      </c>
      <c r="BN40" s="544">
        <v>66</v>
      </c>
      <c r="BO40" s="544">
        <v>67</v>
      </c>
      <c r="BP40" s="544">
        <v>68</v>
      </c>
      <c r="BQ40" s="544">
        <v>69</v>
      </c>
      <c r="BR40" s="544">
        <v>70</v>
      </c>
      <c r="BS40" s="544">
        <v>71</v>
      </c>
      <c r="BT40" s="544">
        <v>72</v>
      </c>
      <c r="BU40" s="544">
        <v>73</v>
      </c>
      <c r="BV40" s="544">
        <v>74</v>
      </c>
      <c r="BW40" s="544">
        <v>75</v>
      </c>
      <c r="BX40" s="544">
        <v>76</v>
      </c>
      <c r="BY40" s="544">
        <v>77</v>
      </c>
      <c r="BZ40" s="544">
        <v>78</v>
      </c>
      <c r="CA40" s="544">
        <v>79</v>
      </c>
      <c r="CB40" s="544">
        <v>80</v>
      </c>
      <c r="CC40" s="544">
        <v>81</v>
      </c>
      <c r="CD40" s="544">
        <v>82</v>
      </c>
      <c r="CE40" s="544">
        <v>83</v>
      </c>
      <c r="CF40" s="544">
        <v>84</v>
      </c>
    </row>
    <row r="41" spans="1:84" ht="16.5" customHeight="1" x14ac:dyDescent="0.4">
      <c r="A41" s="24" t="s">
        <v>202</v>
      </c>
      <c r="B41" s="39">
        <f>C35</f>
        <v>125000000</v>
      </c>
      <c r="C41" s="39">
        <f t="shared" ref="C41:Y41" si="74">B45</f>
        <v>125000000</v>
      </c>
      <c r="D41" s="39">
        <f t="shared" si="74"/>
        <v>125000000</v>
      </c>
      <c r="E41" s="39">
        <f t="shared" si="74"/>
        <v>125000000</v>
      </c>
      <c r="F41" s="39">
        <f t="shared" si="74"/>
        <v>125000000</v>
      </c>
      <c r="G41" s="39">
        <f t="shared" si="74"/>
        <v>125000000</v>
      </c>
      <c r="H41" s="39">
        <f t="shared" si="74"/>
        <v>125000000</v>
      </c>
      <c r="I41" s="39">
        <f t="shared" si="74"/>
        <v>125000000</v>
      </c>
      <c r="J41" s="39">
        <f t="shared" si="74"/>
        <v>125000000</v>
      </c>
      <c r="K41" s="39">
        <f t="shared" si="74"/>
        <v>125000000</v>
      </c>
      <c r="L41" s="39">
        <f t="shared" si="74"/>
        <v>125000000</v>
      </c>
      <c r="M41" s="39">
        <f t="shared" si="74"/>
        <v>125000000</v>
      </c>
      <c r="N41" s="39">
        <f t="shared" si="74"/>
        <v>125000000</v>
      </c>
      <c r="O41" s="39">
        <f t="shared" si="74"/>
        <v>125000000</v>
      </c>
      <c r="P41" s="39">
        <f t="shared" si="74"/>
        <v>125000000</v>
      </c>
      <c r="Q41" s="39">
        <f t="shared" si="74"/>
        <v>125000000</v>
      </c>
      <c r="R41" s="39">
        <f t="shared" si="74"/>
        <v>125000000</v>
      </c>
      <c r="S41" s="39">
        <f t="shared" si="74"/>
        <v>125000000</v>
      </c>
      <c r="T41" s="39">
        <f t="shared" si="74"/>
        <v>125000000</v>
      </c>
      <c r="U41" s="39">
        <f t="shared" si="74"/>
        <v>125000000</v>
      </c>
      <c r="V41" s="39">
        <f t="shared" si="74"/>
        <v>125000000</v>
      </c>
      <c r="W41" s="39">
        <f t="shared" si="74"/>
        <v>125000000</v>
      </c>
      <c r="X41" s="39">
        <f t="shared" si="74"/>
        <v>125000000</v>
      </c>
      <c r="Y41" s="39">
        <f t="shared" si="74"/>
        <v>125000000</v>
      </c>
      <c r="Z41" s="439"/>
      <c r="AA41" s="439">
        <f t="shared" ref="AA41" si="75">Y45</f>
        <v>125000000</v>
      </c>
      <c r="AB41" s="439">
        <f t="shared" ref="AB41:CF41" si="76">AA45</f>
        <v>122405205.59670575</v>
      </c>
      <c r="AC41" s="439">
        <f t="shared" si="76"/>
        <v>120728450.23538679</v>
      </c>
      <c r="AD41" s="439">
        <f t="shared" si="76"/>
        <v>119039119.20885794</v>
      </c>
      <c r="AE41" s="439">
        <f t="shared" si="76"/>
        <v>117337118.19963013</v>
      </c>
      <c r="AF41" s="439">
        <f t="shared" si="76"/>
        <v>115622352.18283311</v>
      </c>
      <c r="AG41" s="439">
        <f t="shared" si="76"/>
        <v>113894725.42091011</v>
      </c>
      <c r="AH41" s="439">
        <f t="shared" si="76"/>
        <v>112154141.45827268</v>
      </c>
      <c r="AI41" s="439">
        <f t="shared" si="76"/>
        <v>110400503.11591548</v>
      </c>
      <c r="AJ41" s="439">
        <f t="shared" si="76"/>
        <v>108633712.4859906</v>
      </c>
      <c r="AK41" s="439">
        <f t="shared" si="76"/>
        <v>106853670.92634128</v>
      </c>
      <c r="AL41" s="439">
        <f t="shared" si="76"/>
        <v>105060279.05499458</v>
      </c>
      <c r="AM41" s="439">
        <f t="shared" si="76"/>
        <v>103253436.7446128</v>
      </c>
      <c r="AN41" s="439">
        <f t="shared" si="76"/>
        <v>101433043.11690314</v>
      </c>
      <c r="AO41" s="439">
        <f t="shared" si="76"/>
        <v>99598996.536985666</v>
      </c>
      <c r="AP41" s="439">
        <f t="shared" si="76"/>
        <v>97751194.60771881</v>
      </c>
      <c r="AQ41" s="439">
        <f t="shared" si="76"/>
        <v>95889534.163982451</v>
      </c>
      <c r="AR41" s="439">
        <f t="shared" si="76"/>
        <v>94013911.266918063</v>
      </c>
      <c r="AS41" s="439">
        <f t="shared" si="76"/>
        <v>92124221.19812569</v>
      </c>
      <c r="AT41" s="439">
        <f t="shared" si="76"/>
        <v>90220358.453817382</v>
      </c>
      <c r="AU41" s="439">
        <f t="shared" si="76"/>
        <v>88302216.738926768</v>
      </c>
      <c r="AV41" s="439">
        <f t="shared" si="76"/>
        <v>86369688.961174473</v>
      </c>
      <c r="AW41" s="439">
        <f t="shared" si="76"/>
        <v>84422667.225089028</v>
      </c>
      <c r="AX41" s="439">
        <f t="shared" si="76"/>
        <v>82461042.825982943</v>
      </c>
      <c r="AY41" s="439">
        <f t="shared" si="76"/>
        <v>80484706.243883565</v>
      </c>
      <c r="AZ41" s="439">
        <f t="shared" si="76"/>
        <v>78493547.137418434</v>
      </c>
      <c r="BA41" s="439">
        <f t="shared" si="76"/>
        <v>76487454.337654814</v>
      </c>
      <c r="BB41" s="439">
        <f t="shared" si="76"/>
        <v>74466315.841892973</v>
      </c>
      <c r="BC41" s="439">
        <f t="shared" si="76"/>
        <v>72430018.807412922</v>
      </c>
      <c r="BD41" s="439">
        <f t="shared" si="76"/>
        <v>70378449.545174271</v>
      </c>
      <c r="BE41" s="439">
        <f t="shared" si="76"/>
        <v>68311493.513468832</v>
      </c>
      <c r="BF41" s="439">
        <f t="shared" si="76"/>
        <v>66229035.311525598</v>
      </c>
      <c r="BG41" s="439">
        <f t="shared" si="76"/>
        <v>64130958.673067786</v>
      </c>
      <c r="BH41" s="439">
        <f t="shared" si="76"/>
        <v>62017146.459821545</v>
      </c>
      <c r="BI41" s="439">
        <f t="shared" si="76"/>
        <v>59887480.654975958</v>
      </c>
      <c r="BJ41" s="439">
        <f t="shared" si="76"/>
        <v>57741842.356594026</v>
      </c>
      <c r="BK41" s="439">
        <f t="shared" si="76"/>
        <v>55580111.770974234</v>
      </c>
      <c r="BL41" s="439">
        <f t="shared" si="76"/>
        <v>53402168.205962285</v>
      </c>
      <c r="BM41" s="439">
        <f t="shared" si="76"/>
        <v>51207890.064212754</v>
      </c>
      <c r="BN41" s="439">
        <f t="shared" si="76"/>
        <v>48997154.836400099</v>
      </c>
      <c r="BO41" s="439">
        <f t="shared" si="76"/>
        <v>46769839.094378851</v>
      </c>
      <c r="BP41" s="439">
        <f t="shared" si="76"/>
        <v>44525818.48429244</v>
      </c>
      <c r="BQ41" s="439">
        <f t="shared" si="76"/>
        <v>42264967.719630383</v>
      </c>
      <c r="BR41" s="439">
        <f t="shared" si="76"/>
        <v>39987160.574233361</v>
      </c>
      <c r="BS41" s="439">
        <f t="shared" si="76"/>
        <v>37692269.875245862</v>
      </c>
      <c r="BT41" s="439">
        <f t="shared" si="76"/>
        <v>35380167.496015951</v>
      </c>
      <c r="BU41" s="439">
        <f t="shared" si="76"/>
        <v>33050724.348941818</v>
      </c>
      <c r="BV41" s="439">
        <f t="shared" si="76"/>
        <v>30703810.378264628</v>
      </c>
      <c r="BW41" s="439">
        <f t="shared" si="76"/>
        <v>28339294.552807361</v>
      </c>
      <c r="BX41" s="439">
        <f t="shared" si="76"/>
        <v>25957044.858659163</v>
      </c>
      <c r="BY41" s="439">
        <f t="shared" si="76"/>
        <v>23556928.291804858</v>
      </c>
      <c r="BZ41" s="439">
        <f t="shared" si="76"/>
        <v>21138810.850699142</v>
      </c>
      <c r="CA41" s="439">
        <f t="shared" si="76"/>
        <v>18702557.528785132</v>
      </c>
      <c r="CB41" s="439">
        <f t="shared" si="76"/>
        <v>16248032.306956768</v>
      </c>
      <c r="CC41" s="439">
        <f t="shared" si="76"/>
        <v>13775098.145964693</v>
      </c>
      <c r="CD41" s="439">
        <f t="shared" si="76"/>
        <v>11283616.978765177</v>
      </c>
      <c r="CE41" s="439">
        <f t="shared" si="76"/>
        <v>8773449.702811664</v>
      </c>
      <c r="CF41" s="439">
        <f t="shared" si="76"/>
        <v>6244456.1722884998</v>
      </c>
    </row>
    <row r="42" spans="1:84" ht="14.25" customHeight="1" x14ac:dyDescent="0.4">
      <c r="A42" s="24" t="s">
        <v>203</v>
      </c>
      <c r="B42" s="39"/>
      <c r="C42" s="39"/>
      <c r="D42" s="39"/>
      <c r="E42" s="39"/>
      <c r="F42" s="39"/>
      <c r="G42" s="39"/>
      <c r="H42" s="39"/>
      <c r="I42" s="39"/>
      <c r="J42" s="39"/>
      <c r="K42" s="39"/>
      <c r="L42" s="39"/>
      <c r="M42" s="39"/>
      <c r="N42" s="39"/>
      <c r="O42" s="39"/>
      <c r="P42" s="39"/>
      <c r="Q42" s="39"/>
      <c r="R42" s="39"/>
      <c r="S42" s="39"/>
      <c r="T42" s="39"/>
      <c r="U42" s="39"/>
      <c r="V42" s="39"/>
      <c r="W42" s="39"/>
      <c r="X42" s="39"/>
      <c r="Y42" s="39"/>
      <c r="Z42" s="439"/>
      <c r="AA42" s="439">
        <f>-F38+Z43</f>
        <v>-25094794.40329425</v>
      </c>
      <c r="AB42" s="439">
        <f>-$F$38</f>
        <v>-2594794.4032942513</v>
      </c>
      <c r="AC42" s="439">
        <f t="shared" ref="AC42:CE42" si="77">-$F$38</f>
        <v>-2594794.4032942513</v>
      </c>
      <c r="AD42" s="439">
        <f t="shared" si="77"/>
        <v>-2594794.4032942513</v>
      </c>
      <c r="AE42" s="439">
        <f t="shared" si="77"/>
        <v>-2594794.4032942513</v>
      </c>
      <c r="AF42" s="439">
        <f t="shared" si="77"/>
        <v>-2594794.4032942513</v>
      </c>
      <c r="AG42" s="439">
        <f t="shared" si="77"/>
        <v>-2594794.4032942513</v>
      </c>
      <c r="AH42" s="439">
        <f t="shared" si="77"/>
        <v>-2594794.4032942513</v>
      </c>
      <c r="AI42" s="439">
        <f t="shared" si="77"/>
        <v>-2594794.4032942513</v>
      </c>
      <c r="AJ42" s="439">
        <f t="shared" si="77"/>
        <v>-2594794.4032942513</v>
      </c>
      <c r="AK42" s="439">
        <f t="shared" si="77"/>
        <v>-2594794.4032942513</v>
      </c>
      <c r="AL42" s="439">
        <f t="shared" si="77"/>
        <v>-2594794.4032942513</v>
      </c>
      <c r="AM42" s="439">
        <f t="shared" si="77"/>
        <v>-2594794.4032942513</v>
      </c>
      <c r="AN42" s="439">
        <f t="shared" si="77"/>
        <v>-2594794.4032942513</v>
      </c>
      <c r="AO42" s="439">
        <f t="shared" si="77"/>
        <v>-2594794.4032942513</v>
      </c>
      <c r="AP42" s="439">
        <f t="shared" si="77"/>
        <v>-2594794.4032942513</v>
      </c>
      <c r="AQ42" s="439">
        <f t="shared" si="77"/>
        <v>-2594794.4032942513</v>
      </c>
      <c r="AR42" s="439">
        <f t="shared" si="77"/>
        <v>-2594794.4032942513</v>
      </c>
      <c r="AS42" s="439">
        <f t="shared" si="77"/>
        <v>-2594794.4032942513</v>
      </c>
      <c r="AT42" s="439">
        <f t="shared" si="77"/>
        <v>-2594794.4032942513</v>
      </c>
      <c r="AU42" s="439">
        <f t="shared" si="77"/>
        <v>-2594794.4032942513</v>
      </c>
      <c r="AV42" s="439">
        <f t="shared" si="77"/>
        <v>-2594794.4032942513</v>
      </c>
      <c r="AW42" s="439">
        <f t="shared" si="77"/>
        <v>-2594794.4032942513</v>
      </c>
      <c r="AX42" s="439">
        <f t="shared" si="77"/>
        <v>-2594794.4032942513</v>
      </c>
      <c r="AY42" s="439">
        <f t="shared" si="77"/>
        <v>-2594794.4032942513</v>
      </c>
      <c r="AZ42" s="439">
        <f t="shared" si="77"/>
        <v>-2594794.4032942513</v>
      </c>
      <c r="BA42" s="439">
        <f t="shared" si="77"/>
        <v>-2594794.4032942513</v>
      </c>
      <c r="BB42" s="439">
        <f t="shared" si="77"/>
        <v>-2594794.4032942513</v>
      </c>
      <c r="BC42" s="439">
        <f t="shared" si="77"/>
        <v>-2594794.4032942513</v>
      </c>
      <c r="BD42" s="439">
        <f t="shared" si="77"/>
        <v>-2594794.4032942513</v>
      </c>
      <c r="BE42" s="439">
        <f t="shared" si="77"/>
        <v>-2594794.4032942513</v>
      </c>
      <c r="BF42" s="439">
        <f t="shared" si="77"/>
        <v>-2594794.4032942513</v>
      </c>
      <c r="BG42" s="439">
        <f t="shared" si="77"/>
        <v>-2594794.4032942513</v>
      </c>
      <c r="BH42" s="439">
        <f t="shared" si="77"/>
        <v>-2594794.4032942513</v>
      </c>
      <c r="BI42" s="439">
        <f t="shared" si="77"/>
        <v>-2594794.4032942513</v>
      </c>
      <c r="BJ42" s="439">
        <f t="shared" si="77"/>
        <v>-2594794.4032942513</v>
      </c>
      <c r="BK42" s="439">
        <f t="shared" si="77"/>
        <v>-2594794.4032942513</v>
      </c>
      <c r="BL42" s="439">
        <f t="shared" si="77"/>
        <v>-2594794.4032942513</v>
      </c>
      <c r="BM42" s="439">
        <f t="shared" si="77"/>
        <v>-2594794.4032942513</v>
      </c>
      <c r="BN42" s="439">
        <f t="shared" si="77"/>
        <v>-2594794.4032942513</v>
      </c>
      <c r="BO42" s="439">
        <f t="shared" si="77"/>
        <v>-2594794.4032942513</v>
      </c>
      <c r="BP42" s="439">
        <f t="shared" si="77"/>
        <v>-2594794.4032942513</v>
      </c>
      <c r="BQ42" s="439">
        <f t="shared" si="77"/>
        <v>-2594794.4032942513</v>
      </c>
      <c r="BR42" s="439">
        <f t="shared" si="77"/>
        <v>-2594794.4032942513</v>
      </c>
      <c r="BS42" s="439">
        <f t="shared" si="77"/>
        <v>-2594794.4032942513</v>
      </c>
      <c r="BT42" s="439">
        <f t="shared" si="77"/>
        <v>-2594794.4032942513</v>
      </c>
      <c r="BU42" s="439">
        <f t="shared" si="77"/>
        <v>-2594794.4032942513</v>
      </c>
      <c r="BV42" s="439">
        <f t="shared" si="77"/>
        <v>-2594794.4032942513</v>
      </c>
      <c r="BW42" s="439">
        <f t="shared" si="77"/>
        <v>-2594794.4032942513</v>
      </c>
      <c r="BX42" s="439">
        <f t="shared" si="77"/>
        <v>-2594794.4032942513</v>
      </c>
      <c r="BY42" s="439">
        <f t="shared" si="77"/>
        <v>-2594794.4032942513</v>
      </c>
      <c r="BZ42" s="439">
        <f t="shared" si="77"/>
        <v>-2594794.4032942513</v>
      </c>
      <c r="CA42" s="439">
        <f t="shared" si="77"/>
        <v>-2594794.4032942513</v>
      </c>
      <c r="CB42" s="439">
        <f t="shared" si="77"/>
        <v>-2594794.4032942513</v>
      </c>
      <c r="CC42" s="439">
        <f t="shared" si="77"/>
        <v>-2594794.4032942513</v>
      </c>
      <c r="CD42" s="439">
        <f t="shared" si="77"/>
        <v>-2594794.4032942513</v>
      </c>
      <c r="CE42" s="439">
        <f t="shared" si="77"/>
        <v>-2594794.4032942513</v>
      </c>
      <c r="CF42" s="439">
        <f>-CF41+CF43</f>
        <v>-6291289.5935806632</v>
      </c>
    </row>
    <row r="43" spans="1:84" ht="14.25" customHeight="1" x14ac:dyDescent="0.4">
      <c r="A43" s="24" t="s">
        <v>204</v>
      </c>
      <c r="B43" s="39">
        <f>-B41*$F$37</f>
        <v>-937500</v>
      </c>
      <c r="C43" s="39">
        <f t="shared" ref="C43:Y43" si="78">-C41*$F$37</f>
        <v>-937500</v>
      </c>
      <c r="D43" s="39">
        <f t="shared" si="78"/>
        <v>-937500</v>
      </c>
      <c r="E43" s="39">
        <f t="shared" si="78"/>
        <v>-937500</v>
      </c>
      <c r="F43" s="39">
        <f t="shared" si="78"/>
        <v>-937500</v>
      </c>
      <c r="G43" s="39">
        <f t="shared" si="78"/>
        <v>-937500</v>
      </c>
      <c r="H43" s="39">
        <f t="shared" si="78"/>
        <v>-937500</v>
      </c>
      <c r="I43" s="39">
        <f t="shared" si="78"/>
        <v>-937500</v>
      </c>
      <c r="J43" s="39">
        <f t="shared" si="78"/>
        <v>-937500</v>
      </c>
      <c r="K43" s="39">
        <f t="shared" si="78"/>
        <v>-937500</v>
      </c>
      <c r="L43" s="39">
        <f t="shared" si="78"/>
        <v>-937500</v>
      </c>
      <c r="M43" s="39">
        <f t="shared" si="78"/>
        <v>-937500</v>
      </c>
      <c r="N43" s="39">
        <f t="shared" si="78"/>
        <v>-937500</v>
      </c>
      <c r="O43" s="39">
        <f t="shared" si="78"/>
        <v>-937500</v>
      </c>
      <c r="P43" s="39">
        <f t="shared" si="78"/>
        <v>-937500</v>
      </c>
      <c r="Q43" s="39">
        <f t="shared" si="78"/>
        <v>-937500</v>
      </c>
      <c r="R43" s="39">
        <f t="shared" si="78"/>
        <v>-937500</v>
      </c>
      <c r="S43" s="39">
        <f t="shared" si="78"/>
        <v>-937500</v>
      </c>
      <c r="T43" s="39">
        <f t="shared" si="78"/>
        <v>-937500</v>
      </c>
      <c r="U43" s="39">
        <f t="shared" si="78"/>
        <v>-937500</v>
      </c>
      <c r="V43" s="39">
        <f t="shared" si="78"/>
        <v>-937500</v>
      </c>
      <c r="W43" s="39">
        <f t="shared" si="78"/>
        <v>-937500</v>
      </c>
      <c r="X43" s="39">
        <f t="shared" si="78"/>
        <v>-937500</v>
      </c>
      <c r="Y43" s="39">
        <f t="shared" si="78"/>
        <v>-937500</v>
      </c>
      <c r="Z43" s="439">
        <f>SUM(B43:Y43)</f>
        <v>-22500000</v>
      </c>
      <c r="AA43" s="439">
        <f>Z43</f>
        <v>-22500000</v>
      </c>
      <c r="AB43" s="39">
        <f t="shared" ref="AB43:CD43" si="79">-AB41*$F$37</f>
        <v>-918039.04197529308</v>
      </c>
      <c r="AC43" s="39">
        <f t="shared" si="79"/>
        <v>-905463.37676540087</v>
      </c>
      <c r="AD43" s="39">
        <f t="shared" si="79"/>
        <v>-892793.39406643447</v>
      </c>
      <c r="AE43" s="39">
        <f t="shared" si="79"/>
        <v>-880028.38649722596</v>
      </c>
      <c r="AF43" s="39">
        <f t="shared" si="79"/>
        <v>-867167.64137124829</v>
      </c>
      <c r="AG43" s="39">
        <f t="shared" si="79"/>
        <v>-854210.44065682578</v>
      </c>
      <c r="AH43" s="39">
        <f t="shared" si="79"/>
        <v>-841156.06093704503</v>
      </c>
      <c r="AI43" s="39">
        <f t="shared" si="79"/>
        <v>-828003.77336936607</v>
      </c>
      <c r="AJ43" s="39">
        <f t="shared" si="79"/>
        <v>-814752.84364492947</v>
      </c>
      <c r="AK43" s="39">
        <f t="shared" si="79"/>
        <v>-801402.53194755956</v>
      </c>
      <c r="AL43" s="39">
        <f t="shared" si="79"/>
        <v>-787952.0929124594</v>
      </c>
      <c r="AM43" s="39">
        <f t="shared" si="79"/>
        <v>-774400.77558459598</v>
      </c>
      <c r="AN43" s="39">
        <f t="shared" si="79"/>
        <v>-760747.82337677351</v>
      </c>
      <c r="AO43" s="39">
        <f t="shared" si="79"/>
        <v>-746992.47402739245</v>
      </c>
      <c r="AP43" s="39">
        <f t="shared" si="79"/>
        <v>-733133.95955789101</v>
      </c>
      <c r="AQ43" s="39">
        <f t="shared" si="79"/>
        <v>-719171.50622986839</v>
      </c>
      <c r="AR43" s="39">
        <f t="shared" si="79"/>
        <v>-705104.33450188546</v>
      </c>
      <c r="AS43" s="39">
        <f t="shared" si="79"/>
        <v>-690931.6589859426</v>
      </c>
      <c r="AT43" s="39">
        <f t="shared" si="79"/>
        <v>-676652.6884036304</v>
      </c>
      <c r="AU43" s="39">
        <f t="shared" si="79"/>
        <v>-662266.62554195069</v>
      </c>
      <c r="AV43" s="39">
        <f t="shared" si="79"/>
        <v>-647772.66720880847</v>
      </c>
      <c r="AW43" s="39">
        <f t="shared" si="79"/>
        <v>-633170.00418816775</v>
      </c>
      <c r="AX43" s="39">
        <f t="shared" si="79"/>
        <v>-618457.82119487203</v>
      </c>
      <c r="AY43" s="39">
        <f t="shared" si="79"/>
        <v>-603635.29682912666</v>
      </c>
      <c r="AZ43" s="39">
        <f t="shared" si="79"/>
        <v>-588701.60353063827</v>
      </c>
      <c r="BA43" s="39">
        <f t="shared" si="79"/>
        <v>-573655.90753241105</v>
      </c>
      <c r="BB43" s="39">
        <f t="shared" si="79"/>
        <v>-558497.36881419725</v>
      </c>
      <c r="BC43" s="39">
        <f t="shared" si="79"/>
        <v>-543225.14105559688</v>
      </c>
      <c r="BD43" s="39">
        <f t="shared" si="79"/>
        <v>-527838.37158880697</v>
      </c>
      <c r="BE43" s="39">
        <f t="shared" si="79"/>
        <v>-512336.20135101624</v>
      </c>
      <c r="BF43" s="39">
        <f t="shared" si="79"/>
        <v>-496717.76483644196</v>
      </c>
      <c r="BG43" s="39">
        <f t="shared" si="79"/>
        <v>-480982.1900480084</v>
      </c>
      <c r="BH43" s="39">
        <f t="shared" si="79"/>
        <v>-465128.59844866156</v>
      </c>
      <c r="BI43" s="39">
        <f t="shared" si="79"/>
        <v>-449156.10491231969</v>
      </c>
      <c r="BJ43" s="39">
        <f t="shared" si="79"/>
        <v>-433063.81767445517</v>
      </c>
      <c r="BK43" s="39">
        <f t="shared" si="79"/>
        <v>-416850.83828230674</v>
      </c>
      <c r="BL43" s="39">
        <f t="shared" si="79"/>
        <v>-400516.26154471713</v>
      </c>
      <c r="BM43" s="39">
        <f t="shared" si="79"/>
        <v>-384059.17548159562</v>
      </c>
      <c r="BN43" s="39">
        <f t="shared" si="79"/>
        <v>-367478.6612730007</v>
      </c>
      <c r="BO43" s="39">
        <f t="shared" si="79"/>
        <v>-350773.79320784134</v>
      </c>
      <c r="BP43" s="39">
        <f t="shared" si="79"/>
        <v>-333943.63863219327</v>
      </c>
      <c r="BQ43" s="39">
        <f t="shared" si="79"/>
        <v>-316987.25789722789</v>
      </c>
      <c r="BR43" s="39">
        <f t="shared" si="79"/>
        <v>-299903.70430675021</v>
      </c>
      <c r="BS43" s="39">
        <f t="shared" si="79"/>
        <v>-282692.02406434395</v>
      </c>
      <c r="BT43" s="39">
        <f t="shared" si="79"/>
        <v>-265351.2562201196</v>
      </c>
      <c r="BU43" s="39">
        <f t="shared" si="79"/>
        <v>-247880.43261706363</v>
      </c>
      <c r="BV43" s="39">
        <f t="shared" si="79"/>
        <v>-230278.57783698471</v>
      </c>
      <c r="BW43" s="39">
        <f t="shared" si="79"/>
        <v>-212544.70914605519</v>
      </c>
      <c r="BX43" s="39">
        <f t="shared" si="79"/>
        <v>-194677.83643994373</v>
      </c>
      <c r="BY43" s="39">
        <f t="shared" si="79"/>
        <v>-176676.96218853642</v>
      </c>
      <c r="BZ43" s="39">
        <f t="shared" si="79"/>
        <v>-158541.08138024356</v>
      </c>
      <c r="CA43" s="39">
        <f t="shared" si="79"/>
        <v>-140269.18146588848</v>
      </c>
      <c r="CB43" s="39">
        <f t="shared" si="79"/>
        <v>-121860.24230217576</v>
      </c>
      <c r="CC43" s="39">
        <f t="shared" si="79"/>
        <v>-103313.2360947352</v>
      </c>
      <c r="CD43" s="39">
        <f t="shared" si="79"/>
        <v>-84627.127340738822</v>
      </c>
      <c r="CE43" s="39">
        <f t="shared" ref="CE43" si="80">-CE41*$F$37</f>
        <v>-65800.872771087481</v>
      </c>
      <c r="CF43" s="39">
        <f t="shared" ref="CF43" si="81">-CF41*$F$37</f>
        <v>-46833.421292163745</v>
      </c>
    </row>
    <row r="44" spans="1:84" ht="14.25" customHeight="1" x14ac:dyDescent="0.4">
      <c r="A44" s="24" t="s">
        <v>205</v>
      </c>
      <c r="B44" s="39"/>
      <c r="C44" s="39"/>
      <c r="D44" s="39"/>
      <c r="E44" s="39"/>
      <c r="F44" s="39"/>
      <c r="G44" s="39"/>
      <c r="H44" s="39"/>
      <c r="I44" s="39"/>
      <c r="J44" s="39"/>
      <c r="K44" s="39"/>
      <c r="L44" s="39"/>
      <c r="M44" s="39"/>
      <c r="N44" s="39"/>
      <c r="O44" s="39"/>
      <c r="P44" s="39"/>
      <c r="Q44" s="39"/>
      <c r="R44" s="39"/>
      <c r="S44" s="39"/>
      <c r="T44" s="39"/>
      <c r="U44" s="39"/>
      <c r="V44" s="39"/>
      <c r="W44" s="39"/>
      <c r="X44" s="39"/>
      <c r="Y44" s="39"/>
      <c r="Z44" s="439"/>
      <c r="AA44" s="439">
        <f t="shared" ref="AA44" si="82">-AA42+AA43</f>
        <v>2594794.4032942504</v>
      </c>
      <c r="AB44" s="439">
        <f t="shared" ref="AB44:CD44" si="83">-AB42+AB43</f>
        <v>1676755.3613189582</v>
      </c>
      <c r="AC44" s="439">
        <f t="shared" si="83"/>
        <v>1689331.0265288504</v>
      </c>
      <c r="AD44" s="439">
        <f t="shared" si="83"/>
        <v>1702001.0092278169</v>
      </c>
      <c r="AE44" s="439">
        <f t="shared" si="83"/>
        <v>1714766.0167970252</v>
      </c>
      <c r="AF44" s="439">
        <f t="shared" si="83"/>
        <v>1727626.761923003</v>
      </c>
      <c r="AG44" s="439">
        <f t="shared" si="83"/>
        <v>1740583.9626374254</v>
      </c>
      <c r="AH44" s="439">
        <f t="shared" si="83"/>
        <v>1753638.3423572062</v>
      </c>
      <c r="AI44" s="439">
        <f t="shared" si="83"/>
        <v>1766790.6299248852</v>
      </c>
      <c r="AJ44" s="439">
        <f t="shared" si="83"/>
        <v>1780041.5596493217</v>
      </c>
      <c r="AK44" s="439">
        <f t="shared" si="83"/>
        <v>1793391.8713466916</v>
      </c>
      <c r="AL44" s="439">
        <f t="shared" si="83"/>
        <v>1806842.310381792</v>
      </c>
      <c r="AM44" s="439">
        <f t="shared" si="83"/>
        <v>1820393.6277096553</v>
      </c>
      <c r="AN44" s="439">
        <f t="shared" si="83"/>
        <v>1834046.5799174779</v>
      </c>
      <c r="AO44" s="439">
        <f t="shared" si="83"/>
        <v>1847801.9292668588</v>
      </c>
      <c r="AP44" s="439">
        <f t="shared" si="83"/>
        <v>1861660.4437363604</v>
      </c>
      <c r="AQ44" s="439">
        <f t="shared" si="83"/>
        <v>1875622.8970643829</v>
      </c>
      <c r="AR44" s="439">
        <f t="shared" si="83"/>
        <v>1889690.068792366</v>
      </c>
      <c r="AS44" s="439">
        <f t="shared" si="83"/>
        <v>1903862.7443083087</v>
      </c>
      <c r="AT44" s="439">
        <f t="shared" si="83"/>
        <v>1918141.7148906209</v>
      </c>
      <c r="AU44" s="439">
        <f t="shared" si="83"/>
        <v>1932527.7777523007</v>
      </c>
      <c r="AV44" s="439">
        <f t="shared" si="83"/>
        <v>1947021.7360854428</v>
      </c>
      <c r="AW44" s="439">
        <f t="shared" si="83"/>
        <v>1961624.3991060834</v>
      </c>
      <c r="AX44" s="439">
        <f t="shared" si="83"/>
        <v>1976336.5820993793</v>
      </c>
      <c r="AY44" s="439">
        <f t="shared" si="83"/>
        <v>1991159.1064651245</v>
      </c>
      <c r="AZ44" s="439">
        <f t="shared" si="83"/>
        <v>2006092.7997636129</v>
      </c>
      <c r="BA44" s="439">
        <f t="shared" si="83"/>
        <v>2021138.4957618401</v>
      </c>
      <c r="BB44" s="439">
        <f t="shared" si="83"/>
        <v>2036297.0344800539</v>
      </c>
      <c r="BC44" s="439">
        <f t="shared" si="83"/>
        <v>2051569.2622386543</v>
      </c>
      <c r="BD44" s="439">
        <f t="shared" si="83"/>
        <v>2066956.0317054442</v>
      </c>
      <c r="BE44" s="439">
        <f t="shared" si="83"/>
        <v>2082458.201943235</v>
      </c>
      <c r="BF44" s="439">
        <f t="shared" si="83"/>
        <v>2098076.6384578096</v>
      </c>
      <c r="BG44" s="439">
        <f t="shared" si="83"/>
        <v>2113812.2132462431</v>
      </c>
      <c r="BH44" s="439">
        <f t="shared" si="83"/>
        <v>2129665.8048455897</v>
      </c>
      <c r="BI44" s="439">
        <f t="shared" si="83"/>
        <v>2145638.2983819316</v>
      </c>
      <c r="BJ44" s="439">
        <f t="shared" si="83"/>
        <v>2161730.5856197961</v>
      </c>
      <c r="BK44" s="439">
        <f t="shared" si="83"/>
        <v>2177943.5650119446</v>
      </c>
      <c r="BL44" s="439">
        <f t="shared" si="83"/>
        <v>2194278.1417495343</v>
      </c>
      <c r="BM44" s="439">
        <f t="shared" si="83"/>
        <v>2210735.2278126557</v>
      </c>
      <c r="BN44" s="439">
        <f t="shared" si="83"/>
        <v>2227315.7420212505</v>
      </c>
      <c r="BO44" s="439">
        <f t="shared" si="83"/>
        <v>2244020.6100864098</v>
      </c>
      <c r="BP44" s="439">
        <f t="shared" si="83"/>
        <v>2260850.7646620581</v>
      </c>
      <c r="BQ44" s="439">
        <f t="shared" si="83"/>
        <v>2277807.1453970233</v>
      </c>
      <c r="BR44" s="439">
        <f t="shared" si="83"/>
        <v>2294890.6989875012</v>
      </c>
      <c r="BS44" s="439">
        <f t="shared" si="83"/>
        <v>2312102.3792299074</v>
      </c>
      <c r="BT44" s="439">
        <f t="shared" si="83"/>
        <v>2329443.1470741318</v>
      </c>
      <c r="BU44" s="439">
        <f t="shared" si="83"/>
        <v>2346913.9706771877</v>
      </c>
      <c r="BV44" s="439">
        <f t="shared" si="83"/>
        <v>2364515.8254572665</v>
      </c>
      <c r="BW44" s="439">
        <f t="shared" si="83"/>
        <v>2382249.6941481959</v>
      </c>
      <c r="BX44" s="439">
        <f t="shared" si="83"/>
        <v>2400116.5668543074</v>
      </c>
      <c r="BY44" s="439">
        <f t="shared" si="83"/>
        <v>2418117.441105715</v>
      </c>
      <c r="BZ44" s="439">
        <f t="shared" si="83"/>
        <v>2436253.3219140079</v>
      </c>
      <c r="CA44" s="439">
        <f t="shared" si="83"/>
        <v>2454525.2218283629</v>
      </c>
      <c r="CB44" s="439">
        <f t="shared" si="83"/>
        <v>2472934.1609920757</v>
      </c>
      <c r="CC44" s="439">
        <f t="shared" si="83"/>
        <v>2491481.1671995162</v>
      </c>
      <c r="CD44" s="439">
        <f t="shared" si="83"/>
        <v>2510167.2759535126</v>
      </c>
      <c r="CE44" s="439">
        <f t="shared" ref="CE44" si="84">-CE42+CE43</f>
        <v>2528993.5305231637</v>
      </c>
      <c r="CF44" s="439">
        <f>-CF42+CF43</f>
        <v>6244456.1722884998</v>
      </c>
    </row>
    <row r="45" spans="1:84" ht="13.5" customHeight="1" x14ac:dyDescent="0.4">
      <c r="A45" s="24" t="s">
        <v>206</v>
      </c>
      <c r="B45" s="39">
        <f t="shared" ref="B45:Y45" si="85">B41-B44</f>
        <v>125000000</v>
      </c>
      <c r="C45" s="39">
        <f t="shared" si="85"/>
        <v>125000000</v>
      </c>
      <c r="D45" s="39">
        <f t="shared" si="85"/>
        <v>125000000</v>
      </c>
      <c r="E45" s="39">
        <f t="shared" si="85"/>
        <v>125000000</v>
      </c>
      <c r="F45" s="39">
        <f t="shared" si="85"/>
        <v>125000000</v>
      </c>
      <c r="G45" s="39">
        <f t="shared" si="85"/>
        <v>125000000</v>
      </c>
      <c r="H45" s="39">
        <f t="shared" si="85"/>
        <v>125000000</v>
      </c>
      <c r="I45" s="39">
        <f t="shared" si="85"/>
        <v>125000000</v>
      </c>
      <c r="J45" s="39">
        <f t="shared" si="85"/>
        <v>125000000</v>
      </c>
      <c r="K45" s="39">
        <f t="shared" si="85"/>
        <v>125000000</v>
      </c>
      <c r="L45" s="39">
        <f t="shared" si="85"/>
        <v>125000000</v>
      </c>
      <c r="M45" s="39">
        <f t="shared" si="85"/>
        <v>125000000</v>
      </c>
      <c r="N45" s="39">
        <f t="shared" si="85"/>
        <v>125000000</v>
      </c>
      <c r="O45" s="39">
        <f t="shared" si="85"/>
        <v>125000000</v>
      </c>
      <c r="P45" s="39">
        <f t="shared" si="85"/>
        <v>125000000</v>
      </c>
      <c r="Q45" s="39">
        <f t="shared" si="85"/>
        <v>125000000</v>
      </c>
      <c r="R45" s="39">
        <f t="shared" si="85"/>
        <v>125000000</v>
      </c>
      <c r="S45" s="39">
        <f t="shared" si="85"/>
        <v>125000000</v>
      </c>
      <c r="T45" s="39">
        <f t="shared" si="85"/>
        <v>125000000</v>
      </c>
      <c r="U45" s="39">
        <f t="shared" si="85"/>
        <v>125000000</v>
      </c>
      <c r="V45" s="39">
        <f t="shared" si="85"/>
        <v>125000000</v>
      </c>
      <c r="W45" s="39">
        <f t="shared" si="85"/>
        <v>125000000</v>
      </c>
      <c r="X45" s="39">
        <f t="shared" si="85"/>
        <v>125000000</v>
      </c>
      <c r="Y45" s="39">
        <f t="shared" si="85"/>
        <v>125000000</v>
      </c>
      <c r="Z45" s="439"/>
      <c r="AA45" s="439">
        <f t="shared" ref="AA45:CD45" si="86">AA41-AA44</f>
        <v>122405205.59670575</v>
      </c>
      <c r="AB45" s="439">
        <f t="shared" si="86"/>
        <v>120728450.23538679</v>
      </c>
      <c r="AC45" s="439">
        <f t="shared" si="86"/>
        <v>119039119.20885794</v>
      </c>
      <c r="AD45" s="439">
        <f t="shared" si="86"/>
        <v>117337118.19963013</v>
      </c>
      <c r="AE45" s="439">
        <f t="shared" si="86"/>
        <v>115622352.18283311</v>
      </c>
      <c r="AF45" s="439">
        <f t="shared" si="86"/>
        <v>113894725.42091011</v>
      </c>
      <c r="AG45" s="439">
        <f t="shared" si="86"/>
        <v>112154141.45827268</v>
      </c>
      <c r="AH45" s="439">
        <f t="shared" si="86"/>
        <v>110400503.11591548</v>
      </c>
      <c r="AI45" s="439">
        <f t="shared" si="86"/>
        <v>108633712.4859906</v>
      </c>
      <c r="AJ45" s="439">
        <f t="shared" si="86"/>
        <v>106853670.92634128</v>
      </c>
      <c r="AK45" s="439">
        <f t="shared" si="86"/>
        <v>105060279.05499458</v>
      </c>
      <c r="AL45" s="439">
        <f t="shared" si="86"/>
        <v>103253436.7446128</v>
      </c>
      <c r="AM45" s="439">
        <f t="shared" si="86"/>
        <v>101433043.11690314</v>
      </c>
      <c r="AN45" s="439">
        <f t="shared" si="86"/>
        <v>99598996.536985666</v>
      </c>
      <c r="AO45" s="439">
        <f t="shared" si="86"/>
        <v>97751194.60771881</v>
      </c>
      <c r="AP45" s="439">
        <f t="shared" si="86"/>
        <v>95889534.163982451</v>
      </c>
      <c r="AQ45" s="439">
        <f t="shared" si="86"/>
        <v>94013911.266918063</v>
      </c>
      <c r="AR45" s="439">
        <f t="shared" si="86"/>
        <v>92124221.19812569</v>
      </c>
      <c r="AS45" s="439">
        <f t="shared" si="86"/>
        <v>90220358.453817382</v>
      </c>
      <c r="AT45" s="439">
        <f t="shared" si="86"/>
        <v>88302216.738926768</v>
      </c>
      <c r="AU45" s="439">
        <f t="shared" si="86"/>
        <v>86369688.961174473</v>
      </c>
      <c r="AV45" s="439">
        <f t="shared" si="86"/>
        <v>84422667.225089028</v>
      </c>
      <c r="AW45" s="439">
        <f t="shared" si="86"/>
        <v>82461042.825982943</v>
      </c>
      <c r="AX45" s="439">
        <f t="shared" si="86"/>
        <v>80484706.243883565</v>
      </c>
      <c r="AY45" s="439">
        <f t="shared" si="86"/>
        <v>78493547.137418434</v>
      </c>
      <c r="AZ45" s="439">
        <f t="shared" si="86"/>
        <v>76487454.337654814</v>
      </c>
      <c r="BA45" s="439">
        <f t="shared" si="86"/>
        <v>74466315.841892973</v>
      </c>
      <c r="BB45" s="439">
        <f t="shared" si="86"/>
        <v>72430018.807412922</v>
      </c>
      <c r="BC45" s="439">
        <f t="shared" si="86"/>
        <v>70378449.545174271</v>
      </c>
      <c r="BD45" s="439">
        <f t="shared" si="86"/>
        <v>68311493.513468832</v>
      </c>
      <c r="BE45" s="439">
        <f t="shared" si="86"/>
        <v>66229035.311525598</v>
      </c>
      <c r="BF45" s="439">
        <f t="shared" si="86"/>
        <v>64130958.673067786</v>
      </c>
      <c r="BG45" s="439">
        <f t="shared" si="86"/>
        <v>62017146.459821545</v>
      </c>
      <c r="BH45" s="439">
        <f t="shared" si="86"/>
        <v>59887480.654975958</v>
      </c>
      <c r="BI45" s="439">
        <f t="shared" si="86"/>
        <v>57741842.356594026</v>
      </c>
      <c r="BJ45" s="439">
        <f t="shared" si="86"/>
        <v>55580111.770974234</v>
      </c>
      <c r="BK45" s="439">
        <f t="shared" si="86"/>
        <v>53402168.205962285</v>
      </c>
      <c r="BL45" s="439">
        <f t="shared" si="86"/>
        <v>51207890.064212754</v>
      </c>
      <c r="BM45" s="439">
        <f t="shared" si="86"/>
        <v>48997154.836400099</v>
      </c>
      <c r="BN45" s="439">
        <f t="shared" si="86"/>
        <v>46769839.094378851</v>
      </c>
      <c r="BO45" s="439">
        <f t="shared" si="86"/>
        <v>44525818.48429244</v>
      </c>
      <c r="BP45" s="439">
        <f t="shared" si="86"/>
        <v>42264967.719630383</v>
      </c>
      <c r="BQ45" s="439">
        <f t="shared" si="86"/>
        <v>39987160.574233361</v>
      </c>
      <c r="BR45" s="439">
        <f t="shared" si="86"/>
        <v>37692269.875245862</v>
      </c>
      <c r="BS45" s="439">
        <f t="shared" si="86"/>
        <v>35380167.496015951</v>
      </c>
      <c r="BT45" s="439">
        <f t="shared" si="86"/>
        <v>33050724.348941818</v>
      </c>
      <c r="BU45" s="439">
        <f t="shared" si="86"/>
        <v>30703810.378264628</v>
      </c>
      <c r="BV45" s="439">
        <f t="shared" si="86"/>
        <v>28339294.552807361</v>
      </c>
      <c r="BW45" s="439">
        <f t="shared" si="86"/>
        <v>25957044.858659163</v>
      </c>
      <c r="BX45" s="439">
        <f t="shared" si="86"/>
        <v>23556928.291804858</v>
      </c>
      <c r="BY45" s="439">
        <f t="shared" si="86"/>
        <v>21138810.850699142</v>
      </c>
      <c r="BZ45" s="439">
        <f t="shared" si="86"/>
        <v>18702557.528785132</v>
      </c>
      <c r="CA45" s="439">
        <f t="shared" si="86"/>
        <v>16248032.306956768</v>
      </c>
      <c r="CB45" s="439">
        <f t="shared" si="86"/>
        <v>13775098.145964693</v>
      </c>
      <c r="CC45" s="439">
        <f t="shared" si="86"/>
        <v>11283616.978765177</v>
      </c>
      <c r="CD45" s="439">
        <f t="shared" si="86"/>
        <v>8773449.702811664</v>
      </c>
      <c r="CE45" s="439">
        <f t="shared" ref="CE45" si="87">CE41-CE44</f>
        <v>6244456.1722884998</v>
      </c>
      <c r="CF45" s="439">
        <f t="shared" ref="CF45" si="88">CF41-CF44</f>
        <v>0</v>
      </c>
    </row>
    <row r="46" spans="1:84" ht="14.25" customHeight="1" x14ac:dyDescent="0.4">
      <c r="A46" s="148"/>
      <c r="B46" s="148"/>
      <c r="C46" s="148"/>
      <c r="D46" s="148"/>
      <c r="E46" s="148"/>
      <c r="F46" s="148"/>
      <c r="G46" s="148"/>
      <c r="H46" s="148"/>
      <c r="I46" s="148"/>
      <c r="J46" s="148"/>
      <c r="K46" s="148"/>
      <c r="L46" s="148"/>
      <c r="M46" s="148"/>
      <c r="N46" s="148"/>
      <c r="O46" s="148"/>
      <c r="P46" s="148"/>
      <c r="Q46" s="148"/>
      <c r="R46" s="148"/>
      <c r="S46" s="148"/>
      <c r="T46" s="148"/>
      <c r="U46" s="148"/>
      <c r="V46" s="148"/>
      <c r="W46" s="148"/>
      <c r="X46" s="148"/>
      <c r="Y46" s="148"/>
      <c r="Z46" s="545"/>
      <c r="AA46" s="545"/>
      <c r="AB46" s="545"/>
      <c r="AC46" s="545"/>
      <c r="AD46" s="545"/>
      <c r="AE46" s="545"/>
      <c r="AF46" s="545"/>
      <c r="AG46" s="545"/>
      <c r="AH46" s="545"/>
      <c r="AI46" s="545"/>
      <c r="AJ46" s="545"/>
      <c r="AK46" s="545"/>
      <c r="AL46" s="545"/>
      <c r="AM46" s="545"/>
      <c r="AN46" s="545"/>
      <c r="AO46" s="545"/>
      <c r="AP46" s="545"/>
      <c r="AQ46" s="545"/>
      <c r="AR46" s="545"/>
      <c r="AS46" s="545"/>
      <c r="AT46" s="545"/>
      <c r="AU46" s="545"/>
      <c r="AV46" s="545"/>
      <c r="AW46" s="545"/>
      <c r="AX46" s="545"/>
      <c r="AY46" s="545"/>
      <c r="AZ46" s="545"/>
      <c r="BA46" s="545"/>
      <c r="BB46" s="545"/>
      <c r="BC46" s="545"/>
      <c r="BD46" s="545"/>
      <c r="BE46" s="545"/>
      <c r="BF46" s="545"/>
      <c r="BG46" s="545"/>
      <c r="BH46" s="545"/>
      <c r="BI46" s="545"/>
      <c r="BJ46" s="545"/>
      <c r="BK46" s="545"/>
      <c r="BL46" s="545"/>
      <c r="BM46" s="545"/>
      <c r="BN46" s="545"/>
      <c r="BO46" s="545"/>
      <c r="BP46" s="545"/>
      <c r="BQ46" s="545"/>
      <c r="BR46" s="545"/>
      <c r="BS46" s="545"/>
      <c r="BT46" s="545"/>
      <c r="BU46" s="545"/>
      <c r="BV46" s="545"/>
      <c r="BW46" s="545"/>
      <c r="BX46" s="545"/>
      <c r="BY46" s="545"/>
      <c r="BZ46" s="545"/>
      <c r="CA46" s="545"/>
      <c r="CB46" s="545"/>
      <c r="CC46" s="545"/>
      <c r="CD46" s="545"/>
      <c r="CE46" s="545"/>
    </row>
    <row r="47" spans="1:84" ht="14.25" hidden="1" customHeight="1" thickBot="1" x14ac:dyDescent="0.45">
      <c r="A47" s="633" t="s">
        <v>189</v>
      </c>
      <c r="B47" s="634"/>
      <c r="C47" s="24"/>
    </row>
    <row r="48" spans="1:84" ht="14.25" hidden="1" customHeight="1" x14ac:dyDescent="0.4">
      <c r="A48" s="71" t="s">
        <v>210</v>
      </c>
      <c r="B48" s="71"/>
      <c r="C48" s="24"/>
    </row>
    <row r="49" spans="1:26" ht="14.25" hidden="1" customHeight="1" x14ac:dyDescent="0.4">
      <c r="A49" s="131" t="s">
        <v>191</v>
      </c>
      <c r="B49" s="70"/>
      <c r="C49" s="142">
        <f>'Budget First 84 months'!H20</f>
        <v>0</v>
      </c>
      <c r="E49" t="s">
        <v>192</v>
      </c>
      <c r="F49" t="s">
        <v>193</v>
      </c>
    </row>
    <row r="50" spans="1:26" ht="14.25" hidden="1" customHeight="1" x14ac:dyDescent="0.4">
      <c r="A50" s="131" t="s">
        <v>194</v>
      </c>
      <c r="B50" s="70"/>
      <c r="C50" s="143">
        <v>7</v>
      </c>
      <c r="E50" t="s">
        <v>195</v>
      </c>
      <c r="F50" s="38">
        <v>60</v>
      </c>
    </row>
    <row r="51" spans="1:26" ht="14.25" hidden="1" customHeight="1" x14ac:dyDescent="0.4">
      <c r="A51" t="s">
        <v>196</v>
      </c>
      <c r="C51" s="144">
        <v>0.09</v>
      </c>
      <c r="E51" t="s">
        <v>197</v>
      </c>
      <c r="F51" s="145">
        <f>C51/12</f>
        <v>7.4999999999999997E-3</v>
      </c>
    </row>
    <row r="52" spans="1:26" ht="14.25" hidden="1" customHeight="1" x14ac:dyDescent="0.4">
      <c r="A52" t="s">
        <v>198</v>
      </c>
      <c r="C52" s="146" t="s">
        <v>211</v>
      </c>
      <c r="E52" t="s">
        <v>200</v>
      </c>
      <c r="F52" s="147">
        <f>PMT(F51,F50,-C49,0)</f>
        <v>0</v>
      </c>
    </row>
    <row r="53" spans="1:26" ht="15" hidden="1" customHeight="1" x14ac:dyDescent="0.4"/>
    <row r="54" spans="1:26" ht="14.25" hidden="1" customHeight="1" x14ac:dyDescent="0.4">
      <c r="A54" s="71" t="s">
        <v>172</v>
      </c>
      <c r="B54" s="71">
        <v>5</v>
      </c>
      <c r="C54" s="71">
        <v>6</v>
      </c>
      <c r="D54" s="71">
        <v>7</v>
      </c>
      <c r="E54" s="71">
        <v>8</v>
      </c>
      <c r="F54" s="71">
        <v>9</v>
      </c>
      <c r="G54" s="71">
        <v>10</v>
      </c>
      <c r="H54" s="71">
        <v>11</v>
      </c>
      <c r="I54" s="71">
        <v>12</v>
      </c>
      <c r="J54" s="71">
        <v>13</v>
      </c>
      <c r="K54" s="71">
        <v>14</v>
      </c>
      <c r="L54" s="71">
        <v>15</v>
      </c>
      <c r="M54" s="71">
        <v>16</v>
      </c>
      <c r="N54" s="71">
        <v>17</v>
      </c>
      <c r="O54" s="71">
        <v>18</v>
      </c>
      <c r="P54" s="71">
        <v>19</v>
      </c>
      <c r="Q54" s="71">
        <v>20</v>
      </c>
      <c r="R54" s="71">
        <v>21</v>
      </c>
      <c r="S54" s="71">
        <v>22</v>
      </c>
      <c r="T54" s="71">
        <v>23</v>
      </c>
      <c r="U54" s="71">
        <v>24</v>
      </c>
      <c r="V54" s="71">
        <v>25</v>
      </c>
      <c r="W54" s="71">
        <v>26</v>
      </c>
      <c r="X54" s="71">
        <v>27</v>
      </c>
      <c r="Y54" s="71">
        <v>28</v>
      </c>
      <c r="Z54" s="71" t="s">
        <v>201</v>
      </c>
    </row>
    <row r="55" spans="1:26" ht="16.5" hidden="1" customHeight="1" x14ac:dyDescent="0.4">
      <c r="A55" s="24" t="s">
        <v>202</v>
      </c>
      <c r="B55" s="39">
        <f>C49</f>
        <v>0</v>
      </c>
      <c r="C55" s="39">
        <f t="shared" ref="C55:Y55" si="89">B59</f>
        <v>0</v>
      </c>
      <c r="D55" s="39">
        <f t="shared" si="89"/>
        <v>0</v>
      </c>
      <c r="E55" s="39">
        <f t="shared" si="89"/>
        <v>0</v>
      </c>
      <c r="F55" s="39">
        <f t="shared" si="89"/>
        <v>0</v>
      </c>
      <c r="G55" s="39">
        <f t="shared" si="89"/>
        <v>0</v>
      </c>
      <c r="H55" s="39">
        <f t="shared" si="89"/>
        <v>0</v>
      </c>
      <c r="I55" s="39">
        <f t="shared" si="89"/>
        <v>0</v>
      </c>
      <c r="J55" s="39">
        <f t="shared" si="89"/>
        <v>0</v>
      </c>
      <c r="K55" s="39">
        <f t="shared" si="89"/>
        <v>0</v>
      </c>
      <c r="L55" s="39">
        <f t="shared" si="89"/>
        <v>0</v>
      </c>
      <c r="M55" s="39">
        <f t="shared" si="89"/>
        <v>0</v>
      </c>
      <c r="N55" s="39">
        <f t="shared" si="89"/>
        <v>0</v>
      </c>
      <c r="O55" s="39">
        <f t="shared" si="89"/>
        <v>0</v>
      </c>
      <c r="P55" s="39">
        <f t="shared" si="89"/>
        <v>0</v>
      </c>
      <c r="Q55" s="39">
        <f t="shared" si="89"/>
        <v>0</v>
      </c>
      <c r="R55" s="39">
        <f t="shared" si="89"/>
        <v>0</v>
      </c>
      <c r="S55" s="39">
        <f t="shared" si="89"/>
        <v>0</v>
      </c>
      <c r="T55" s="39">
        <f t="shared" si="89"/>
        <v>0</v>
      </c>
      <c r="U55" s="39">
        <f t="shared" si="89"/>
        <v>0</v>
      </c>
      <c r="V55" s="39">
        <f t="shared" si="89"/>
        <v>0</v>
      </c>
      <c r="W55" s="39">
        <f t="shared" si="89"/>
        <v>0</v>
      </c>
      <c r="X55" s="39">
        <f t="shared" si="89"/>
        <v>0</v>
      </c>
      <c r="Y55" s="39">
        <f t="shared" si="89"/>
        <v>0</v>
      </c>
      <c r="Z55" s="39"/>
    </row>
    <row r="56" spans="1:26" ht="14.25" hidden="1" customHeight="1" x14ac:dyDescent="0.4">
      <c r="A56" s="24" t="s">
        <v>203</v>
      </c>
      <c r="B56" s="39"/>
      <c r="C56" s="39"/>
      <c r="D56" s="39"/>
      <c r="E56" s="39"/>
      <c r="F56" s="39"/>
      <c r="G56" s="39"/>
      <c r="H56" s="39"/>
      <c r="I56" s="39"/>
      <c r="J56" s="39"/>
      <c r="K56" s="39"/>
      <c r="L56" s="39"/>
      <c r="M56" s="39"/>
      <c r="N56" s="39"/>
      <c r="O56" s="39"/>
      <c r="P56" s="39"/>
      <c r="Q56" s="39"/>
      <c r="R56" s="39"/>
      <c r="S56" s="39"/>
      <c r="T56" s="39"/>
      <c r="U56" s="39"/>
      <c r="V56" s="39"/>
      <c r="W56" s="39"/>
      <c r="X56" s="39"/>
      <c r="Y56" s="39"/>
      <c r="Z56" s="39"/>
    </row>
    <row r="57" spans="1:26" ht="14.25" hidden="1" customHeight="1" x14ac:dyDescent="0.4">
      <c r="A57" s="24" t="s">
        <v>204</v>
      </c>
      <c r="B57" s="39">
        <f t="shared" ref="B57:Y57" si="90">-B55*$F$110</f>
        <v>0</v>
      </c>
      <c r="C57" s="39">
        <f t="shared" si="90"/>
        <v>0</v>
      </c>
      <c r="D57" s="39">
        <f t="shared" si="90"/>
        <v>0</v>
      </c>
      <c r="E57" s="39">
        <f t="shared" si="90"/>
        <v>0</v>
      </c>
      <c r="F57" s="39">
        <f t="shared" si="90"/>
        <v>0</v>
      </c>
      <c r="G57" s="39">
        <f t="shared" si="90"/>
        <v>0</v>
      </c>
      <c r="H57" s="39">
        <f t="shared" si="90"/>
        <v>0</v>
      </c>
      <c r="I57" s="39">
        <f t="shared" si="90"/>
        <v>0</v>
      </c>
      <c r="J57" s="39">
        <f t="shared" si="90"/>
        <v>0</v>
      </c>
      <c r="K57" s="39">
        <f t="shared" si="90"/>
        <v>0</v>
      </c>
      <c r="L57" s="39">
        <f t="shared" si="90"/>
        <v>0</v>
      </c>
      <c r="M57" s="39">
        <f t="shared" si="90"/>
        <v>0</v>
      </c>
      <c r="N57" s="39">
        <f t="shared" si="90"/>
        <v>0</v>
      </c>
      <c r="O57" s="39">
        <f t="shared" si="90"/>
        <v>0</v>
      </c>
      <c r="P57" s="39">
        <f t="shared" si="90"/>
        <v>0</v>
      </c>
      <c r="Q57" s="39">
        <f t="shared" si="90"/>
        <v>0</v>
      </c>
      <c r="R57" s="39">
        <f t="shared" si="90"/>
        <v>0</v>
      </c>
      <c r="S57" s="39">
        <f t="shared" si="90"/>
        <v>0</v>
      </c>
      <c r="T57" s="39">
        <f t="shared" si="90"/>
        <v>0</v>
      </c>
      <c r="U57" s="39">
        <f t="shared" si="90"/>
        <v>0</v>
      </c>
      <c r="V57" s="39">
        <f t="shared" si="90"/>
        <v>0</v>
      </c>
      <c r="W57" s="39">
        <f t="shared" si="90"/>
        <v>0</v>
      </c>
      <c r="X57" s="39">
        <f t="shared" si="90"/>
        <v>0</v>
      </c>
      <c r="Y57" s="39">
        <f t="shared" si="90"/>
        <v>0</v>
      </c>
      <c r="Z57" s="39">
        <f>SUM(B57:Y57)</f>
        <v>0</v>
      </c>
    </row>
    <row r="58" spans="1:26" ht="14.25" hidden="1" customHeight="1" x14ac:dyDescent="0.4">
      <c r="A58" s="24" t="s">
        <v>205</v>
      </c>
      <c r="B58" s="39"/>
      <c r="C58" s="39"/>
      <c r="D58" s="39"/>
      <c r="E58" s="39"/>
      <c r="F58" s="39"/>
      <c r="G58" s="39"/>
      <c r="H58" s="39"/>
      <c r="I58" s="39"/>
      <c r="J58" s="39"/>
      <c r="K58" s="39"/>
      <c r="L58" s="39"/>
      <c r="M58" s="39"/>
      <c r="N58" s="39"/>
      <c r="O58" s="39"/>
      <c r="P58" s="39"/>
      <c r="Q58" s="39"/>
      <c r="R58" s="39"/>
      <c r="S58" s="39"/>
      <c r="T58" s="39"/>
      <c r="U58" s="39"/>
      <c r="V58" s="39"/>
      <c r="W58" s="39"/>
      <c r="X58" s="39"/>
      <c r="Y58" s="39"/>
      <c r="Z58" s="39"/>
    </row>
    <row r="59" spans="1:26" ht="13.5" hidden="1" customHeight="1" x14ac:dyDescent="0.4">
      <c r="A59" s="24" t="s">
        <v>206</v>
      </c>
      <c r="B59" s="39">
        <f t="shared" ref="B59:Y59" si="91">B55-B58</f>
        <v>0</v>
      </c>
      <c r="C59" s="39">
        <f t="shared" si="91"/>
        <v>0</v>
      </c>
      <c r="D59" s="39">
        <f t="shared" si="91"/>
        <v>0</v>
      </c>
      <c r="E59" s="39">
        <f t="shared" si="91"/>
        <v>0</v>
      </c>
      <c r="F59" s="39">
        <f t="shared" si="91"/>
        <v>0</v>
      </c>
      <c r="G59" s="39">
        <f t="shared" si="91"/>
        <v>0</v>
      </c>
      <c r="H59" s="39">
        <f t="shared" si="91"/>
        <v>0</v>
      </c>
      <c r="I59" s="39">
        <f t="shared" si="91"/>
        <v>0</v>
      </c>
      <c r="J59" s="39">
        <f t="shared" si="91"/>
        <v>0</v>
      </c>
      <c r="K59" s="39">
        <f t="shared" si="91"/>
        <v>0</v>
      </c>
      <c r="L59" s="39">
        <f t="shared" si="91"/>
        <v>0</v>
      </c>
      <c r="M59" s="39">
        <f t="shared" si="91"/>
        <v>0</v>
      </c>
      <c r="N59" s="39">
        <f t="shared" si="91"/>
        <v>0</v>
      </c>
      <c r="O59" s="39">
        <f t="shared" si="91"/>
        <v>0</v>
      </c>
      <c r="P59" s="39">
        <f t="shared" si="91"/>
        <v>0</v>
      </c>
      <c r="Q59" s="39">
        <f t="shared" si="91"/>
        <v>0</v>
      </c>
      <c r="R59" s="39">
        <f t="shared" si="91"/>
        <v>0</v>
      </c>
      <c r="S59" s="39">
        <f t="shared" si="91"/>
        <v>0</v>
      </c>
      <c r="T59" s="39">
        <f t="shared" si="91"/>
        <v>0</v>
      </c>
      <c r="U59" s="39">
        <f t="shared" si="91"/>
        <v>0</v>
      </c>
      <c r="V59" s="39">
        <f t="shared" si="91"/>
        <v>0</v>
      </c>
      <c r="W59" s="39">
        <f t="shared" si="91"/>
        <v>0</v>
      </c>
      <c r="X59" s="39">
        <f t="shared" si="91"/>
        <v>0</v>
      </c>
      <c r="Y59" s="39">
        <f t="shared" si="91"/>
        <v>0</v>
      </c>
      <c r="Z59" s="39"/>
    </row>
    <row r="60" spans="1:26" ht="14.25" hidden="1" customHeight="1" x14ac:dyDescent="0.4">
      <c r="A60" s="148"/>
      <c r="B60" s="148"/>
      <c r="C60" s="148"/>
      <c r="D60" s="148"/>
      <c r="E60" s="148"/>
      <c r="F60" s="148"/>
      <c r="G60" s="148"/>
      <c r="H60" s="148"/>
      <c r="I60" s="148"/>
      <c r="J60" s="148"/>
      <c r="K60" s="148"/>
      <c r="L60" s="148"/>
      <c r="M60" s="148"/>
      <c r="N60" s="148"/>
      <c r="O60" s="148"/>
      <c r="P60" s="148"/>
      <c r="Q60" s="148"/>
      <c r="R60" s="148"/>
      <c r="S60" s="148"/>
      <c r="T60" s="148"/>
      <c r="U60" s="148"/>
      <c r="V60" s="148"/>
      <c r="W60" s="148"/>
      <c r="X60" s="148"/>
      <c r="Y60" s="148"/>
      <c r="Z60" s="148"/>
    </row>
    <row r="61" spans="1:26" ht="14.25" hidden="1" customHeight="1" x14ac:dyDescent="0.4">
      <c r="A61" s="431" t="s">
        <v>570</v>
      </c>
    </row>
    <row r="62" spans="1:26" ht="14.25" hidden="1" customHeight="1" x14ac:dyDescent="0.4">
      <c r="A62" s="24" t="s">
        <v>212</v>
      </c>
    </row>
    <row r="63" spans="1:26" ht="14.25" hidden="1" customHeight="1" x14ac:dyDescent="0.4">
      <c r="A63" s="131" t="s">
        <v>191</v>
      </c>
      <c r="B63" s="70"/>
      <c r="C63" s="142">
        <f>'Budget First 84 months'!I20</f>
        <v>0</v>
      </c>
      <c r="E63" t="s">
        <v>192</v>
      </c>
      <c r="F63" t="s">
        <v>193</v>
      </c>
    </row>
    <row r="64" spans="1:26" ht="14.25" hidden="1" customHeight="1" x14ac:dyDescent="0.4">
      <c r="A64" s="131" t="s">
        <v>194</v>
      </c>
      <c r="B64" s="70"/>
      <c r="C64" s="143">
        <v>7</v>
      </c>
      <c r="E64" t="s">
        <v>195</v>
      </c>
      <c r="F64" s="38">
        <v>60</v>
      </c>
    </row>
    <row r="65" spans="1:26" ht="14.25" hidden="1" customHeight="1" x14ac:dyDescent="0.4">
      <c r="A65" t="s">
        <v>196</v>
      </c>
      <c r="C65" s="144">
        <v>0.09</v>
      </c>
      <c r="E65" t="s">
        <v>197</v>
      </c>
      <c r="F65" s="145">
        <f>C65/12</f>
        <v>7.4999999999999997E-3</v>
      </c>
    </row>
    <row r="66" spans="1:26" ht="14.25" hidden="1" customHeight="1" x14ac:dyDescent="0.4">
      <c r="A66" t="s">
        <v>198</v>
      </c>
      <c r="C66" s="146" t="s">
        <v>213</v>
      </c>
      <c r="E66" t="s">
        <v>200</v>
      </c>
      <c r="F66" s="147">
        <f>PMT(F65,F64,-C63,0)</f>
        <v>0</v>
      </c>
    </row>
    <row r="67" spans="1:26" ht="15" hidden="1" customHeight="1" x14ac:dyDescent="0.4"/>
    <row r="68" spans="1:26" ht="14.25" hidden="1" customHeight="1" x14ac:dyDescent="0.4">
      <c r="A68" s="71" t="s">
        <v>172</v>
      </c>
      <c r="B68" s="149">
        <v>6</v>
      </c>
      <c r="C68" s="149">
        <v>7</v>
      </c>
      <c r="D68" s="149">
        <v>8</v>
      </c>
      <c r="E68" s="149">
        <v>9</v>
      </c>
      <c r="F68" s="149">
        <v>10</v>
      </c>
      <c r="G68" s="149">
        <v>11</v>
      </c>
      <c r="H68" s="149">
        <v>12</v>
      </c>
      <c r="I68" s="149">
        <v>13</v>
      </c>
      <c r="J68" s="149">
        <v>14</v>
      </c>
      <c r="K68" s="149">
        <v>15</v>
      </c>
      <c r="L68" s="149">
        <v>16</v>
      </c>
      <c r="M68" s="149">
        <v>17</v>
      </c>
      <c r="N68" s="149">
        <v>18</v>
      </c>
      <c r="O68" s="149">
        <v>19</v>
      </c>
      <c r="P68" s="149">
        <v>20</v>
      </c>
      <c r="Q68" s="149">
        <v>21</v>
      </c>
      <c r="R68" s="149">
        <v>22</v>
      </c>
      <c r="S68" s="149">
        <v>23</v>
      </c>
      <c r="T68" s="149">
        <v>24</v>
      </c>
      <c r="U68" s="149">
        <v>25</v>
      </c>
      <c r="V68" s="149">
        <v>26</v>
      </c>
      <c r="W68" s="149">
        <v>27</v>
      </c>
      <c r="X68" s="149">
        <v>28</v>
      </c>
      <c r="Y68" s="149">
        <v>29</v>
      </c>
      <c r="Z68" s="149"/>
    </row>
    <row r="69" spans="1:26" ht="16.5" hidden="1" customHeight="1" x14ac:dyDescent="0.4">
      <c r="A69" s="24" t="s">
        <v>202</v>
      </c>
      <c r="B69" s="39">
        <f>C63</f>
        <v>0</v>
      </c>
      <c r="C69" s="39">
        <f t="shared" ref="C69:Y69" si="92">B73</f>
        <v>0</v>
      </c>
      <c r="D69" s="39">
        <f t="shared" si="92"/>
        <v>0</v>
      </c>
      <c r="E69" s="39">
        <f t="shared" si="92"/>
        <v>0</v>
      </c>
      <c r="F69" s="39">
        <f t="shared" si="92"/>
        <v>0</v>
      </c>
      <c r="G69" s="39">
        <f t="shared" si="92"/>
        <v>0</v>
      </c>
      <c r="H69" s="39">
        <f t="shared" si="92"/>
        <v>0</v>
      </c>
      <c r="I69" s="39">
        <f t="shared" si="92"/>
        <v>0</v>
      </c>
      <c r="J69" s="39">
        <f t="shared" si="92"/>
        <v>0</v>
      </c>
      <c r="K69" s="39">
        <f t="shared" si="92"/>
        <v>0</v>
      </c>
      <c r="L69" s="39">
        <f t="shared" si="92"/>
        <v>0</v>
      </c>
      <c r="M69" s="39">
        <f t="shared" si="92"/>
        <v>0</v>
      </c>
      <c r="N69" s="39">
        <f t="shared" si="92"/>
        <v>0</v>
      </c>
      <c r="O69" s="39">
        <f t="shared" si="92"/>
        <v>0</v>
      </c>
      <c r="P69" s="39">
        <f t="shared" si="92"/>
        <v>0</v>
      </c>
      <c r="Q69" s="39">
        <f t="shared" si="92"/>
        <v>0</v>
      </c>
      <c r="R69" s="39">
        <f t="shared" si="92"/>
        <v>0</v>
      </c>
      <c r="S69" s="39">
        <f t="shared" si="92"/>
        <v>0</v>
      </c>
      <c r="T69" s="39">
        <f t="shared" si="92"/>
        <v>0</v>
      </c>
      <c r="U69" s="39">
        <f t="shared" si="92"/>
        <v>0</v>
      </c>
      <c r="V69" s="39">
        <f t="shared" si="92"/>
        <v>0</v>
      </c>
      <c r="W69" s="39">
        <f t="shared" si="92"/>
        <v>0</v>
      </c>
      <c r="X69" s="39">
        <f t="shared" si="92"/>
        <v>0</v>
      </c>
      <c r="Y69" s="39">
        <f t="shared" si="92"/>
        <v>0</v>
      </c>
      <c r="Z69" s="39"/>
    </row>
    <row r="70" spans="1:26" ht="14.25" hidden="1" customHeight="1" x14ac:dyDescent="0.4">
      <c r="A70" s="24" t="s">
        <v>203</v>
      </c>
      <c r="B70" s="39"/>
      <c r="C70" s="39"/>
      <c r="D70" s="39"/>
      <c r="E70" s="39"/>
      <c r="F70" s="39"/>
      <c r="G70" s="39"/>
      <c r="H70" s="39"/>
      <c r="I70" s="39"/>
      <c r="J70" s="39"/>
      <c r="K70" s="39"/>
      <c r="L70" s="39"/>
      <c r="M70" s="39"/>
      <c r="N70" s="39"/>
      <c r="O70" s="39"/>
      <c r="P70" s="39"/>
      <c r="Q70" s="39"/>
      <c r="R70" s="39"/>
      <c r="S70" s="39"/>
      <c r="T70" s="39"/>
      <c r="U70" s="39"/>
      <c r="V70" s="39"/>
      <c r="W70" s="39"/>
      <c r="X70" s="39"/>
      <c r="Y70" s="39"/>
      <c r="Z70" s="39"/>
    </row>
    <row r="71" spans="1:26" ht="14.25" hidden="1" customHeight="1" x14ac:dyDescent="0.4">
      <c r="A71" s="24" t="s">
        <v>204</v>
      </c>
      <c r="B71" s="39">
        <f t="shared" ref="B71:Y71" si="93">-B69*$F$110</f>
        <v>0</v>
      </c>
      <c r="C71" s="39">
        <f t="shared" si="93"/>
        <v>0</v>
      </c>
      <c r="D71" s="39">
        <f t="shared" si="93"/>
        <v>0</v>
      </c>
      <c r="E71" s="39">
        <f t="shared" si="93"/>
        <v>0</v>
      </c>
      <c r="F71" s="39">
        <f t="shared" si="93"/>
        <v>0</v>
      </c>
      <c r="G71" s="39">
        <f t="shared" si="93"/>
        <v>0</v>
      </c>
      <c r="H71" s="39">
        <f t="shared" si="93"/>
        <v>0</v>
      </c>
      <c r="I71" s="39">
        <f t="shared" si="93"/>
        <v>0</v>
      </c>
      <c r="J71" s="39">
        <f t="shared" si="93"/>
        <v>0</v>
      </c>
      <c r="K71" s="39">
        <f t="shared" si="93"/>
        <v>0</v>
      </c>
      <c r="L71" s="39">
        <f t="shared" si="93"/>
        <v>0</v>
      </c>
      <c r="M71" s="39">
        <f t="shared" si="93"/>
        <v>0</v>
      </c>
      <c r="N71" s="39">
        <f t="shared" si="93"/>
        <v>0</v>
      </c>
      <c r="O71" s="39">
        <f t="shared" si="93"/>
        <v>0</v>
      </c>
      <c r="P71" s="39">
        <f t="shared" si="93"/>
        <v>0</v>
      </c>
      <c r="Q71" s="39">
        <f t="shared" si="93"/>
        <v>0</v>
      </c>
      <c r="R71" s="39">
        <f t="shared" si="93"/>
        <v>0</v>
      </c>
      <c r="S71" s="39">
        <f t="shared" si="93"/>
        <v>0</v>
      </c>
      <c r="T71" s="39">
        <f t="shared" si="93"/>
        <v>0</v>
      </c>
      <c r="U71" s="39">
        <f t="shared" si="93"/>
        <v>0</v>
      </c>
      <c r="V71" s="39">
        <f t="shared" si="93"/>
        <v>0</v>
      </c>
      <c r="W71" s="39">
        <f t="shared" si="93"/>
        <v>0</v>
      </c>
      <c r="X71" s="39">
        <f t="shared" si="93"/>
        <v>0</v>
      </c>
      <c r="Y71" s="39">
        <f t="shared" si="93"/>
        <v>0</v>
      </c>
      <c r="Z71" s="39">
        <f>SUM(B71:Y71)</f>
        <v>0</v>
      </c>
    </row>
    <row r="72" spans="1:26" ht="14.25" hidden="1" customHeight="1" x14ac:dyDescent="0.4">
      <c r="A72" s="24" t="s">
        <v>205</v>
      </c>
      <c r="B72" s="39"/>
      <c r="C72" s="39"/>
      <c r="D72" s="39"/>
      <c r="E72" s="39"/>
      <c r="F72" s="39"/>
      <c r="G72" s="39"/>
      <c r="H72" s="39"/>
      <c r="I72" s="39"/>
      <c r="J72" s="39"/>
      <c r="K72" s="39"/>
      <c r="L72" s="39"/>
      <c r="M72" s="39"/>
      <c r="N72" s="39"/>
      <c r="O72" s="39"/>
      <c r="P72" s="39"/>
      <c r="Q72" s="39"/>
      <c r="R72" s="39"/>
      <c r="S72" s="39"/>
      <c r="T72" s="39"/>
      <c r="U72" s="39"/>
      <c r="V72" s="39"/>
      <c r="W72" s="39"/>
      <c r="X72" s="39"/>
      <c r="Y72" s="39"/>
      <c r="Z72" s="39"/>
    </row>
    <row r="73" spans="1:26" ht="14.25" hidden="1" customHeight="1" x14ac:dyDescent="0.4">
      <c r="A73" s="24" t="s">
        <v>206</v>
      </c>
      <c r="B73" s="39">
        <f t="shared" ref="B73:Y73" si="94">B69-B72</f>
        <v>0</v>
      </c>
      <c r="C73" s="39">
        <f t="shared" si="94"/>
        <v>0</v>
      </c>
      <c r="D73" s="39">
        <f t="shared" si="94"/>
        <v>0</v>
      </c>
      <c r="E73" s="39">
        <f t="shared" si="94"/>
        <v>0</v>
      </c>
      <c r="F73" s="39">
        <f t="shared" si="94"/>
        <v>0</v>
      </c>
      <c r="G73" s="39">
        <f t="shared" si="94"/>
        <v>0</v>
      </c>
      <c r="H73" s="39">
        <f t="shared" si="94"/>
        <v>0</v>
      </c>
      <c r="I73" s="39">
        <f t="shared" si="94"/>
        <v>0</v>
      </c>
      <c r="J73" s="39">
        <f t="shared" si="94"/>
        <v>0</v>
      </c>
      <c r="K73" s="39">
        <f t="shared" si="94"/>
        <v>0</v>
      </c>
      <c r="L73" s="39">
        <f t="shared" si="94"/>
        <v>0</v>
      </c>
      <c r="M73" s="39">
        <f t="shared" si="94"/>
        <v>0</v>
      </c>
      <c r="N73" s="39">
        <f t="shared" si="94"/>
        <v>0</v>
      </c>
      <c r="O73" s="39">
        <f t="shared" si="94"/>
        <v>0</v>
      </c>
      <c r="P73" s="39">
        <f t="shared" si="94"/>
        <v>0</v>
      </c>
      <c r="Q73" s="39">
        <f t="shared" si="94"/>
        <v>0</v>
      </c>
      <c r="R73" s="39">
        <f t="shared" si="94"/>
        <v>0</v>
      </c>
      <c r="S73" s="39">
        <f t="shared" si="94"/>
        <v>0</v>
      </c>
      <c r="T73" s="39">
        <f t="shared" si="94"/>
        <v>0</v>
      </c>
      <c r="U73" s="39">
        <f t="shared" si="94"/>
        <v>0</v>
      </c>
      <c r="V73" s="39">
        <f t="shared" si="94"/>
        <v>0</v>
      </c>
      <c r="W73" s="39">
        <f t="shared" si="94"/>
        <v>0</v>
      </c>
      <c r="X73" s="39">
        <f t="shared" si="94"/>
        <v>0</v>
      </c>
      <c r="Y73" s="39">
        <f t="shared" si="94"/>
        <v>0</v>
      </c>
      <c r="Z73" s="39"/>
    </row>
    <row r="74" spans="1:26" ht="14.25" hidden="1" customHeight="1" x14ac:dyDescent="0.4">
      <c r="A74" s="148"/>
      <c r="B74" s="148"/>
      <c r="C74" s="148"/>
      <c r="D74" s="148"/>
      <c r="E74" s="148"/>
      <c r="F74" s="148"/>
      <c r="G74" s="148"/>
      <c r="H74" s="148"/>
      <c r="I74" s="148"/>
      <c r="J74" s="148"/>
      <c r="K74" s="148"/>
      <c r="L74" s="148"/>
      <c r="M74" s="148"/>
      <c r="N74" s="148"/>
      <c r="O74" s="148"/>
      <c r="P74" s="148"/>
      <c r="Q74" s="148"/>
      <c r="R74" s="148"/>
      <c r="S74" s="148"/>
      <c r="T74" s="148"/>
      <c r="U74" s="148"/>
      <c r="V74" s="148"/>
      <c r="W74" s="148"/>
      <c r="X74" s="148"/>
      <c r="Y74" s="148"/>
      <c r="Z74" s="148"/>
    </row>
    <row r="75" spans="1:26" ht="14.25" hidden="1" customHeight="1" x14ac:dyDescent="0.4">
      <c r="A75" s="432"/>
      <c r="B75" s="432"/>
      <c r="C75" s="432"/>
      <c r="D75" s="432"/>
      <c r="E75" s="432"/>
      <c r="F75" s="432"/>
      <c r="G75" s="432"/>
      <c r="H75" s="432"/>
      <c r="I75" s="432"/>
      <c r="J75" s="432"/>
      <c r="K75" s="432"/>
      <c r="L75" s="432"/>
      <c r="M75" s="432"/>
      <c r="N75" s="432"/>
      <c r="O75" s="432"/>
      <c r="P75" s="432"/>
      <c r="Q75" s="432"/>
      <c r="R75" s="432"/>
      <c r="S75" s="432"/>
      <c r="T75" s="432"/>
      <c r="U75" s="432"/>
      <c r="V75" s="432"/>
      <c r="W75" s="432"/>
      <c r="X75" s="432"/>
      <c r="Y75" s="432"/>
      <c r="Z75" s="432"/>
    </row>
    <row r="76" spans="1:26" ht="14.25" hidden="1" customHeight="1" x14ac:dyDescent="0.4">
      <c r="A76" s="425" t="s">
        <v>571</v>
      </c>
      <c r="B76" s="432"/>
      <c r="C76" s="432"/>
      <c r="D76" s="432"/>
      <c r="E76" s="432"/>
      <c r="F76" s="432"/>
      <c r="G76" s="432"/>
      <c r="H76" s="432"/>
      <c r="I76" s="432"/>
      <c r="J76" s="432"/>
      <c r="K76" s="432"/>
      <c r="L76" s="432"/>
      <c r="M76" s="432"/>
      <c r="N76" s="432"/>
      <c r="O76" s="432"/>
      <c r="P76" s="432"/>
      <c r="Q76" s="432"/>
      <c r="R76" s="432"/>
      <c r="S76" s="432"/>
      <c r="T76" s="432"/>
      <c r="U76" s="432"/>
      <c r="V76" s="432"/>
      <c r="W76" s="432"/>
      <c r="X76" s="432"/>
      <c r="Y76" s="432"/>
      <c r="Z76" s="432"/>
    </row>
    <row r="77" spans="1:26" ht="14.25" hidden="1" customHeight="1" thickBot="1" x14ac:dyDescent="0.45">
      <c r="A77" s="633" t="s">
        <v>189</v>
      </c>
      <c r="B77" s="634"/>
      <c r="C77" s="24"/>
    </row>
    <row r="78" spans="1:26" ht="14.25" hidden="1" customHeight="1" x14ac:dyDescent="0.4">
      <c r="B78" s="71"/>
      <c r="C78" s="24"/>
    </row>
    <row r="79" spans="1:26" ht="14.25" hidden="1" customHeight="1" x14ac:dyDescent="0.4">
      <c r="A79" s="131" t="s">
        <v>191</v>
      </c>
      <c r="B79" s="70"/>
      <c r="C79" s="142">
        <f>'Budget First 84 months'!J20</f>
        <v>0</v>
      </c>
      <c r="E79" t="s">
        <v>192</v>
      </c>
      <c r="F79" t="s">
        <v>214</v>
      </c>
    </row>
    <row r="80" spans="1:26" ht="14.25" hidden="1" customHeight="1" x14ac:dyDescent="0.4">
      <c r="A80" s="131" t="s">
        <v>194</v>
      </c>
      <c r="B80" s="70"/>
      <c r="C80" s="143">
        <v>7</v>
      </c>
      <c r="E80" t="s">
        <v>195</v>
      </c>
      <c r="F80" s="38">
        <v>60</v>
      </c>
    </row>
    <row r="81" spans="1:26" ht="14.25" hidden="1" customHeight="1" x14ac:dyDescent="0.4">
      <c r="A81" t="s">
        <v>196</v>
      </c>
      <c r="C81" s="144">
        <v>0.09</v>
      </c>
      <c r="E81" t="s">
        <v>197</v>
      </c>
      <c r="F81" s="145">
        <f>C81/12</f>
        <v>7.4999999999999997E-3</v>
      </c>
    </row>
    <row r="82" spans="1:26" ht="14.25" hidden="1" customHeight="1" x14ac:dyDescent="0.4">
      <c r="A82" t="s">
        <v>198</v>
      </c>
      <c r="C82" s="146" t="s">
        <v>215</v>
      </c>
      <c r="E82" t="s">
        <v>200</v>
      </c>
      <c r="F82" s="147">
        <f>PMT(F81,F80,-C79,0)</f>
        <v>0</v>
      </c>
    </row>
    <row r="83" spans="1:26" ht="15" hidden="1" customHeight="1" x14ac:dyDescent="0.4"/>
    <row r="84" spans="1:26" ht="14.25" hidden="1" customHeight="1" x14ac:dyDescent="0.4">
      <c r="A84" s="71" t="s">
        <v>172</v>
      </c>
      <c r="B84" s="71">
        <v>7</v>
      </c>
      <c r="C84" s="71">
        <v>8</v>
      </c>
      <c r="D84" s="71">
        <v>9</v>
      </c>
      <c r="E84" s="71">
        <v>10</v>
      </c>
      <c r="F84" s="71">
        <v>11</v>
      </c>
      <c r="G84" s="71">
        <v>12</v>
      </c>
      <c r="H84" s="71">
        <v>13</v>
      </c>
      <c r="I84" s="71">
        <v>14</v>
      </c>
      <c r="J84" s="71">
        <v>15</v>
      </c>
      <c r="K84" s="71">
        <v>16</v>
      </c>
      <c r="L84" s="71">
        <v>17</v>
      </c>
      <c r="M84" s="71">
        <v>18</v>
      </c>
      <c r="N84" s="71">
        <v>19</v>
      </c>
      <c r="O84" s="71">
        <v>20</v>
      </c>
      <c r="P84" s="71">
        <v>21</v>
      </c>
      <c r="Q84" s="71">
        <v>22</v>
      </c>
      <c r="R84" s="71">
        <v>23</v>
      </c>
      <c r="S84" s="71">
        <v>24</v>
      </c>
      <c r="T84" s="71">
        <v>25</v>
      </c>
      <c r="U84" s="71">
        <v>26</v>
      </c>
      <c r="V84" s="71">
        <v>27</v>
      </c>
      <c r="W84" s="71">
        <v>28</v>
      </c>
      <c r="X84" s="71">
        <v>29</v>
      </c>
      <c r="Y84" s="71">
        <v>30</v>
      </c>
      <c r="Z84" s="71" t="s">
        <v>201</v>
      </c>
    </row>
    <row r="85" spans="1:26" ht="16.5" hidden="1" customHeight="1" x14ac:dyDescent="0.4">
      <c r="A85" s="24" t="s">
        <v>202</v>
      </c>
      <c r="B85" s="39">
        <f>C79</f>
        <v>0</v>
      </c>
      <c r="C85" s="39">
        <f t="shared" ref="C85:Y85" si="95">B89</f>
        <v>0</v>
      </c>
      <c r="D85" s="39">
        <f t="shared" si="95"/>
        <v>0</v>
      </c>
      <c r="E85" s="39">
        <f t="shared" si="95"/>
        <v>0</v>
      </c>
      <c r="F85" s="39">
        <f t="shared" si="95"/>
        <v>0</v>
      </c>
      <c r="G85" s="39">
        <f t="shared" si="95"/>
        <v>0</v>
      </c>
      <c r="H85" s="39">
        <f t="shared" si="95"/>
        <v>0</v>
      </c>
      <c r="I85" s="39">
        <f t="shared" si="95"/>
        <v>0</v>
      </c>
      <c r="J85" s="39">
        <f t="shared" si="95"/>
        <v>0</v>
      </c>
      <c r="K85" s="39">
        <f t="shared" si="95"/>
        <v>0</v>
      </c>
      <c r="L85" s="39">
        <f t="shared" si="95"/>
        <v>0</v>
      </c>
      <c r="M85" s="39">
        <f t="shared" si="95"/>
        <v>0</v>
      </c>
      <c r="N85" s="39">
        <f t="shared" si="95"/>
        <v>0</v>
      </c>
      <c r="O85" s="39">
        <f t="shared" si="95"/>
        <v>0</v>
      </c>
      <c r="P85" s="39">
        <f t="shared" si="95"/>
        <v>0</v>
      </c>
      <c r="Q85" s="39">
        <f t="shared" si="95"/>
        <v>0</v>
      </c>
      <c r="R85" s="39">
        <f t="shared" si="95"/>
        <v>0</v>
      </c>
      <c r="S85" s="39">
        <f t="shared" si="95"/>
        <v>0</v>
      </c>
      <c r="T85" s="39">
        <f t="shared" si="95"/>
        <v>0</v>
      </c>
      <c r="U85" s="39">
        <f t="shared" si="95"/>
        <v>0</v>
      </c>
      <c r="V85" s="39">
        <f t="shared" si="95"/>
        <v>0</v>
      </c>
      <c r="W85" s="39">
        <f t="shared" si="95"/>
        <v>0</v>
      </c>
      <c r="X85" s="39">
        <f t="shared" si="95"/>
        <v>0</v>
      </c>
      <c r="Y85" s="39">
        <f t="shared" si="95"/>
        <v>0</v>
      </c>
      <c r="Z85" s="39"/>
    </row>
    <row r="86" spans="1:26" ht="14.25" hidden="1" customHeight="1" x14ac:dyDescent="0.4">
      <c r="A86" s="24" t="s">
        <v>203</v>
      </c>
      <c r="B86" s="39"/>
      <c r="C86" s="39"/>
      <c r="D86" s="39"/>
      <c r="E86" s="39"/>
      <c r="F86" s="39"/>
      <c r="G86" s="39"/>
      <c r="H86" s="39"/>
      <c r="I86" s="39"/>
      <c r="J86" s="39"/>
      <c r="K86" s="39"/>
      <c r="L86" s="39"/>
      <c r="M86" s="39"/>
      <c r="N86" s="39"/>
      <c r="O86" s="39"/>
      <c r="P86" s="39"/>
      <c r="Q86" s="39"/>
      <c r="R86" s="39"/>
      <c r="S86" s="39"/>
      <c r="T86" s="39"/>
      <c r="U86" s="39"/>
      <c r="V86" s="39"/>
      <c r="W86" s="39"/>
      <c r="X86" s="39"/>
      <c r="Y86" s="39"/>
      <c r="Z86" s="39"/>
    </row>
    <row r="87" spans="1:26" ht="14.25" hidden="1" customHeight="1" x14ac:dyDescent="0.4">
      <c r="A87" s="24" t="s">
        <v>216</v>
      </c>
      <c r="B87" s="39">
        <f t="shared" ref="B87:Y87" si="96">-B85*$F$110</f>
        <v>0</v>
      </c>
      <c r="C87" s="39">
        <f t="shared" si="96"/>
        <v>0</v>
      </c>
      <c r="D87" s="39">
        <f t="shared" si="96"/>
        <v>0</v>
      </c>
      <c r="E87" s="39">
        <f t="shared" si="96"/>
        <v>0</v>
      </c>
      <c r="F87" s="39">
        <f t="shared" si="96"/>
        <v>0</v>
      </c>
      <c r="G87" s="39">
        <f t="shared" si="96"/>
        <v>0</v>
      </c>
      <c r="H87" s="39">
        <f t="shared" si="96"/>
        <v>0</v>
      </c>
      <c r="I87" s="39">
        <f t="shared" si="96"/>
        <v>0</v>
      </c>
      <c r="J87" s="39">
        <f t="shared" si="96"/>
        <v>0</v>
      </c>
      <c r="K87" s="39">
        <f t="shared" si="96"/>
        <v>0</v>
      </c>
      <c r="L87" s="39">
        <f t="shared" si="96"/>
        <v>0</v>
      </c>
      <c r="M87" s="39">
        <f t="shared" si="96"/>
        <v>0</v>
      </c>
      <c r="N87" s="39">
        <f t="shared" si="96"/>
        <v>0</v>
      </c>
      <c r="O87" s="39">
        <f t="shared" si="96"/>
        <v>0</v>
      </c>
      <c r="P87" s="39">
        <f t="shared" si="96"/>
        <v>0</v>
      </c>
      <c r="Q87" s="39">
        <f t="shared" si="96"/>
        <v>0</v>
      </c>
      <c r="R87" s="39">
        <f t="shared" si="96"/>
        <v>0</v>
      </c>
      <c r="S87" s="39">
        <f t="shared" si="96"/>
        <v>0</v>
      </c>
      <c r="T87" s="39">
        <f t="shared" si="96"/>
        <v>0</v>
      </c>
      <c r="U87" s="39">
        <f t="shared" si="96"/>
        <v>0</v>
      </c>
      <c r="V87" s="39">
        <f t="shared" si="96"/>
        <v>0</v>
      </c>
      <c r="W87" s="39">
        <f t="shared" si="96"/>
        <v>0</v>
      </c>
      <c r="X87" s="39">
        <f t="shared" si="96"/>
        <v>0</v>
      </c>
      <c r="Y87" s="39">
        <f t="shared" si="96"/>
        <v>0</v>
      </c>
      <c r="Z87" s="39">
        <f>SUM(B87:Y87)</f>
        <v>0</v>
      </c>
    </row>
    <row r="88" spans="1:26" ht="14.25" hidden="1" customHeight="1" x14ac:dyDescent="0.4">
      <c r="A88" s="24" t="s">
        <v>205</v>
      </c>
      <c r="B88" s="39"/>
      <c r="C88" s="39"/>
      <c r="D88" s="39"/>
      <c r="E88" s="39"/>
      <c r="F88" s="39"/>
      <c r="G88" s="39"/>
      <c r="H88" s="39"/>
      <c r="I88" s="39"/>
      <c r="J88" s="39"/>
      <c r="K88" s="39"/>
      <c r="L88" s="39"/>
      <c r="M88" s="39"/>
      <c r="N88" s="39"/>
      <c r="O88" s="39"/>
      <c r="P88" s="39"/>
      <c r="Q88" s="39"/>
      <c r="R88" s="39"/>
      <c r="S88" s="39"/>
      <c r="T88" s="39"/>
      <c r="U88" s="39"/>
      <c r="V88" s="39"/>
      <c r="W88" s="39"/>
      <c r="X88" s="39"/>
      <c r="Y88" s="39"/>
      <c r="Z88" s="39"/>
    </row>
    <row r="89" spans="1:26" ht="13.5" hidden="1" customHeight="1" x14ac:dyDescent="0.4">
      <c r="A89" s="24" t="s">
        <v>206</v>
      </c>
      <c r="B89" s="39">
        <f t="shared" ref="B89:Y89" si="97">B85-B88</f>
        <v>0</v>
      </c>
      <c r="C89" s="39">
        <f t="shared" si="97"/>
        <v>0</v>
      </c>
      <c r="D89" s="39">
        <f t="shared" si="97"/>
        <v>0</v>
      </c>
      <c r="E89" s="39">
        <f t="shared" si="97"/>
        <v>0</v>
      </c>
      <c r="F89" s="39">
        <f t="shared" si="97"/>
        <v>0</v>
      </c>
      <c r="G89" s="39">
        <f t="shared" si="97"/>
        <v>0</v>
      </c>
      <c r="H89" s="39">
        <f t="shared" si="97"/>
        <v>0</v>
      </c>
      <c r="I89" s="39">
        <f t="shared" si="97"/>
        <v>0</v>
      </c>
      <c r="J89" s="39">
        <f t="shared" si="97"/>
        <v>0</v>
      </c>
      <c r="K89" s="39">
        <f t="shared" si="97"/>
        <v>0</v>
      </c>
      <c r="L89" s="39">
        <f t="shared" si="97"/>
        <v>0</v>
      </c>
      <c r="M89" s="39">
        <f t="shared" si="97"/>
        <v>0</v>
      </c>
      <c r="N89" s="39">
        <f t="shared" si="97"/>
        <v>0</v>
      </c>
      <c r="O89" s="39">
        <f t="shared" si="97"/>
        <v>0</v>
      </c>
      <c r="P89" s="39">
        <f t="shared" si="97"/>
        <v>0</v>
      </c>
      <c r="Q89" s="39">
        <f t="shared" si="97"/>
        <v>0</v>
      </c>
      <c r="R89" s="39">
        <f t="shared" si="97"/>
        <v>0</v>
      </c>
      <c r="S89" s="39">
        <f t="shared" si="97"/>
        <v>0</v>
      </c>
      <c r="T89" s="39">
        <f t="shared" si="97"/>
        <v>0</v>
      </c>
      <c r="U89" s="39">
        <f t="shared" si="97"/>
        <v>0</v>
      </c>
      <c r="V89" s="39">
        <f t="shared" si="97"/>
        <v>0</v>
      </c>
      <c r="W89" s="39">
        <f t="shared" si="97"/>
        <v>0</v>
      </c>
      <c r="X89" s="39">
        <f t="shared" si="97"/>
        <v>0</v>
      </c>
      <c r="Y89" s="39">
        <f t="shared" si="97"/>
        <v>0</v>
      </c>
      <c r="Z89" s="39"/>
    </row>
    <row r="90" spans="1:26" ht="14.25" hidden="1" customHeight="1" x14ac:dyDescent="0.4">
      <c r="A90" s="148"/>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row>
    <row r="91" spans="1:26" ht="14.25" hidden="1" customHeight="1" x14ac:dyDescent="0.4"/>
    <row r="92" spans="1:26" ht="14.25" hidden="1" customHeight="1" thickBot="1" x14ac:dyDescent="0.45">
      <c r="A92" s="633" t="s">
        <v>189</v>
      </c>
      <c r="B92" s="634"/>
      <c r="C92" s="24"/>
    </row>
    <row r="93" spans="1:26" ht="14.25" hidden="1" customHeight="1" x14ac:dyDescent="0.4">
      <c r="A93" s="132" t="s">
        <v>217</v>
      </c>
      <c r="B93" s="71"/>
      <c r="C93" s="24"/>
    </row>
    <row r="94" spans="1:26" ht="14.25" hidden="1" customHeight="1" x14ac:dyDescent="0.4">
      <c r="A94" s="131" t="s">
        <v>191</v>
      </c>
      <c r="B94" s="70"/>
      <c r="C94" s="142">
        <f>'Budget First 84 months'!K20</f>
        <v>0</v>
      </c>
      <c r="E94" t="s">
        <v>192</v>
      </c>
      <c r="F94" t="s">
        <v>193</v>
      </c>
    </row>
    <row r="95" spans="1:26" ht="14.25" hidden="1" customHeight="1" x14ac:dyDescent="0.4">
      <c r="A95" s="131" t="s">
        <v>194</v>
      </c>
      <c r="B95" s="70"/>
      <c r="C95" s="143">
        <v>7</v>
      </c>
      <c r="E95" t="s">
        <v>195</v>
      </c>
      <c r="F95" s="38">
        <v>60</v>
      </c>
    </row>
    <row r="96" spans="1:26" ht="14.25" hidden="1" customHeight="1" x14ac:dyDescent="0.4">
      <c r="A96" t="s">
        <v>196</v>
      </c>
      <c r="C96" s="144">
        <v>0.09</v>
      </c>
      <c r="E96" t="s">
        <v>197</v>
      </c>
      <c r="F96" s="145">
        <f>C96/12</f>
        <v>7.4999999999999997E-3</v>
      </c>
    </row>
    <row r="97" spans="1:26" ht="14.25" hidden="1" customHeight="1" x14ac:dyDescent="0.4">
      <c r="A97" t="s">
        <v>198</v>
      </c>
      <c r="C97" s="146" t="s">
        <v>218</v>
      </c>
      <c r="E97" t="s">
        <v>200</v>
      </c>
      <c r="F97" s="147">
        <f>PMT(F96,F95,-C94,0)</f>
        <v>0</v>
      </c>
    </row>
    <row r="98" spans="1:26" ht="15" hidden="1" customHeight="1" x14ac:dyDescent="0.4"/>
    <row r="99" spans="1:26" ht="14.25" hidden="1" customHeight="1" x14ac:dyDescent="0.4">
      <c r="A99" s="71" t="s">
        <v>172</v>
      </c>
      <c r="B99" s="71">
        <v>8</v>
      </c>
      <c r="C99" s="71">
        <v>9</v>
      </c>
      <c r="D99" s="71">
        <v>10</v>
      </c>
      <c r="E99" s="71">
        <v>11</v>
      </c>
      <c r="F99" s="71">
        <v>12</v>
      </c>
      <c r="G99" s="71">
        <v>13</v>
      </c>
      <c r="H99" s="71">
        <v>14</v>
      </c>
      <c r="I99" s="71">
        <v>15</v>
      </c>
      <c r="J99" s="71">
        <v>16</v>
      </c>
      <c r="K99" s="71">
        <v>17</v>
      </c>
      <c r="L99" s="71">
        <v>18</v>
      </c>
      <c r="M99" s="71">
        <v>19</v>
      </c>
      <c r="N99" s="71">
        <v>20</v>
      </c>
      <c r="O99" s="71">
        <v>21</v>
      </c>
      <c r="P99" s="71">
        <v>22</v>
      </c>
      <c r="Q99" s="71">
        <v>23</v>
      </c>
      <c r="R99" s="71">
        <v>24</v>
      </c>
      <c r="S99" s="71">
        <v>25</v>
      </c>
      <c r="T99" s="71">
        <v>26</v>
      </c>
      <c r="U99" s="71">
        <v>27</v>
      </c>
      <c r="V99" s="71">
        <v>28</v>
      </c>
      <c r="W99" s="71">
        <v>29</v>
      </c>
      <c r="X99" s="71">
        <v>30</v>
      </c>
      <c r="Y99" s="71">
        <v>31</v>
      </c>
      <c r="Z99" s="71" t="s">
        <v>201</v>
      </c>
    </row>
    <row r="100" spans="1:26" ht="16.5" hidden="1" customHeight="1" x14ac:dyDescent="0.4">
      <c r="A100" s="24" t="s">
        <v>202</v>
      </c>
      <c r="B100" s="39">
        <f>C94</f>
        <v>0</v>
      </c>
      <c r="C100" s="39">
        <f t="shared" ref="C100:Y100" si="98">B104</f>
        <v>0</v>
      </c>
      <c r="D100" s="39">
        <f t="shared" si="98"/>
        <v>0</v>
      </c>
      <c r="E100" s="39">
        <f t="shared" si="98"/>
        <v>0</v>
      </c>
      <c r="F100" s="39">
        <f t="shared" si="98"/>
        <v>0</v>
      </c>
      <c r="G100" s="39">
        <f t="shared" si="98"/>
        <v>0</v>
      </c>
      <c r="H100" s="39">
        <f t="shared" si="98"/>
        <v>0</v>
      </c>
      <c r="I100" s="39">
        <f t="shared" si="98"/>
        <v>0</v>
      </c>
      <c r="J100" s="39">
        <f t="shared" si="98"/>
        <v>0</v>
      </c>
      <c r="K100" s="39">
        <f t="shared" si="98"/>
        <v>0</v>
      </c>
      <c r="L100" s="39">
        <f t="shared" si="98"/>
        <v>0</v>
      </c>
      <c r="M100" s="39">
        <f t="shared" si="98"/>
        <v>0</v>
      </c>
      <c r="N100" s="39">
        <f t="shared" si="98"/>
        <v>0</v>
      </c>
      <c r="O100" s="39">
        <f t="shared" si="98"/>
        <v>0</v>
      </c>
      <c r="P100" s="39">
        <f t="shared" si="98"/>
        <v>0</v>
      </c>
      <c r="Q100" s="39">
        <f t="shared" si="98"/>
        <v>0</v>
      </c>
      <c r="R100" s="39">
        <f t="shared" si="98"/>
        <v>0</v>
      </c>
      <c r="S100" s="39">
        <f t="shared" si="98"/>
        <v>0</v>
      </c>
      <c r="T100" s="39">
        <f t="shared" si="98"/>
        <v>0</v>
      </c>
      <c r="U100" s="39">
        <f t="shared" si="98"/>
        <v>0</v>
      </c>
      <c r="V100" s="39">
        <f t="shared" si="98"/>
        <v>0</v>
      </c>
      <c r="W100" s="39">
        <f t="shared" si="98"/>
        <v>0</v>
      </c>
      <c r="X100" s="39">
        <f t="shared" si="98"/>
        <v>0</v>
      </c>
      <c r="Y100" s="39">
        <f t="shared" si="98"/>
        <v>0</v>
      </c>
      <c r="Z100" s="39"/>
    </row>
    <row r="101" spans="1:26" ht="14.25" hidden="1" customHeight="1" x14ac:dyDescent="0.4">
      <c r="A101" s="24" t="s">
        <v>203</v>
      </c>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row>
    <row r="102" spans="1:26" ht="14.25" hidden="1" customHeight="1" x14ac:dyDescent="0.4">
      <c r="A102" s="24" t="s">
        <v>204</v>
      </c>
      <c r="B102" s="39">
        <f t="shared" ref="B102:Y102" si="99">-B100*$F$110</f>
        <v>0</v>
      </c>
      <c r="C102" s="39">
        <f t="shared" si="99"/>
        <v>0</v>
      </c>
      <c r="D102" s="39">
        <f t="shared" si="99"/>
        <v>0</v>
      </c>
      <c r="E102" s="39">
        <f t="shared" si="99"/>
        <v>0</v>
      </c>
      <c r="F102" s="39">
        <f t="shared" si="99"/>
        <v>0</v>
      </c>
      <c r="G102" s="39">
        <f t="shared" si="99"/>
        <v>0</v>
      </c>
      <c r="H102" s="39">
        <f t="shared" si="99"/>
        <v>0</v>
      </c>
      <c r="I102" s="39">
        <f t="shared" si="99"/>
        <v>0</v>
      </c>
      <c r="J102" s="39">
        <f t="shared" si="99"/>
        <v>0</v>
      </c>
      <c r="K102" s="39">
        <f t="shared" si="99"/>
        <v>0</v>
      </c>
      <c r="L102" s="39">
        <f t="shared" si="99"/>
        <v>0</v>
      </c>
      <c r="M102" s="39">
        <f t="shared" si="99"/>
        <v>0</v>
      </c>
      <c r="N102" s="39">
        <f t="shared" si="99"/>
        <v>0</v>
      </c>
      <c r="O102" s="39">
        <f t="shared" si="99"/>
        <v>0</v>
      </c>
      <c r="P102" s="39">
        <f t="shared" si="99"/>
        <v>0</v>
      </c>
      <c r="Q102" s="39">
        <f t="shared" si="99"/>
        <v>0</v>
      </c>
      <c r="R102" s="39">
        <f t="shared" si="99"/>
        <v>0</v>
      </c>
      <c r="S102" s="39">
        <f t="shared" si="99"/>
        <v>0</v>
      </c>
      <c r="T102" s="39">
        <f t="shared" si="99"/>
        <v>0</v>
      </c>
      <c r="U102" s="39">
        <f t="shared" si="99"/>
        <v>0</v>
      </c>
      <c r="V102" s="39">
        <f t="shared" si="99"/>
        <v>0</v>
      </c>
      <c r="W102" s="39">
        <f t="shared" si="99"/>
        <v>0</v>
      </c>
      <c r="X102" s="39">
        <f t="shared" si="99"/>
        <v>0</v>
      </c>
      <c r="Y102" s="39">
        <f t="shared" si="99"/>
        <v>0</v>
      </c>
      <c r="Z102" s="39">
        <f>SUM(B102:Y102)</f>
        <v>0</v>
      </c>
    </row>
    <row r="103" spans="1:26" ht="14.25" hidden="1" customHeight="1" x14ac:dyDescent="0.4">
      <c r="A103" s="24" t="s">
        <v>205</v>
      </c>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row>
    <row r="104" spans="1:26" ht="13.5" hidden="1" customHeight="1" x14ac:dyDescent="0.4">
      <c r="A104" s="24" t="s">
        <v>206</v>
      </c>
      <c r="B104" s="39">
        <f t="shared" ref="B104:Y104" si="100">B100-B103</f>
        <v>0</v>
      </c>
      <c r="C104" s="39">
        <f t="shared" si="100"/>
        <v>0</v>
      </c>
      <c r="D104" s="39">
        <f t="shared" si="100"/>
        <v>0</v>
      </c>
      <c r="E104" s="39">
        <f t="shared" si="100"/>
        <v>0</v>
      </c>
      <c r="F104" s="39">
        <f t="shared" si="100"/>
        <v>0</v>
      </c>
      <c r="G104" s="39">
        <f t="shared" si="100"/>
        <v>0</v>
      </c>
      <c r="H104" s="39">
        <f t="shared" si="100"/>
        <v>0</v>
      </c>
      <c r="I104" s="39">
        <f t="shared" si="100"/>
        <v>0</v>
      </c>
      <c r="J104" s="39">
        <f t="shared" si="100"/>
        <v>0</v>
      </c>
      <c r="K104" s="39">
        <f t="shared" si="100"/>
        <v>0</v>
      </c>
      <c r="L104" s="39">
        <f t="shared" si="100"/>
        <v>0</v>
      </c>
      <c r="M104" s="39">
        <f t="shared" si="100"/>
        <v>0</v>
      </c>
      <c r="N104" s="39">
        <f t="shared" si="100"/>
        <v>0</v>
      </c>
      <c r="O104" s="39">
        <f t="shared" si="100"/>
        <v>0</v>
      </c>
      <c r="P104" s="39">
        <f t="shared" si="100"/>
        <v>0</v>
      </c>
      <c r="Q104" s="39">
        <f t="shared" si="100"/>
        <v>0</v>
      </c>
      <c r="R104" s="39">
        <f t="shared" si="100"/>
        <v>0</v>
      </c>
      <c r="S104" s="39">
        <f t="shared" si="100"/>
        <v>0</v>
      </c>
      <c r="T104" s="39">
        <f t="shared" si="100"/>
        <v>0</v>
      </c>
      <c r="U104" s="39">
        <f t="shared" si="100"/>
        <v>0</v>
      </c>
      <c r="V104" s="39">
        <f t="shared" si="100"/>
        <v>0</v>
      </c>
      <c r="W104" s="39">
        <f t="shared" si="100"/>
        <v>0</v>
      </c>
      <c r="X104" s="39">
        <f t="shared" si="100"/>
        <v>0</v>
      </c>
      <c r="Y104" s="39">
        <f t="shared" si="100"/>
        <v>0</v>
      </c>
      <c r="Z104" s="39"/>
    </row>
    <row r="105" spans="1:26" ht="14.25" hidden="1" customHeight="1" x14ac:dyDescent="0.4">
      <c r="A105" s="148"/>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row>
    <row r="106" spans="1:26" ht="14.25" hidden="1" customHeight="1" thickBot="1" x14ac:dyDescent="0.45">
      <c r="A106" s="633" t="s">
        <v>189</v>
      </c>
      <c r="B106" s="634"/>
      <c r="C106" s="24"/>
    </row>
    <row r="107" spans="1:26" ht="14.25" hidden="1" customHeight="1" x14ac:dyDescent="0.4">
      <c r="A107" s="71" t="s">
        <v>219</v>
      </c>
      <c r="B107" s="71"/>
      <c r="C107" s="24"/>
    </row>
    <row r="108" spans="1:26" ht="14.25" hidden="1" customHeight="1" x14ac:dyDescent="0.4">
      <c r="A108" s="131" t="s">
        <v>191</v>
      </c>
      <c r="B108" s="70"/>
      <c r="C108" s="142">
        <f>'Budget First 84 months'!L20</f>
        <v>0</v>
      </c>
      <c r="E108" t="s">
        <v>192</v>
      </c>
      <c r="F108" t="s">
        <v>193</v>
      </c>
    </row>
    <row r="109" spans="1:26" ht="14.25" hidden="1" customHeight="1" x14ac:dyDescent="0.4">
      <c r="A109" s="131" t="s">
        <v>194</v>
      </c>
      <c r="B109" s="70"/>
      <c r="C109" s="143">
        <v>7</v>
      </c>
      <c r="E109" t="s">
        <v>195</v>
      </c>
      <c r="F109" s="38">
        <v>60</v>
      </c>
    </row>
    <row r="110" spans="1:26" ht="14.25" hidden="1" customHeight="1" x14ac:dyDescent="0.4">
      <c r="A110" t="s">
        <v>196</v>
      </c>
      <c r="C110" s="144">
        <v>0.09</v>
      </c>
      <c r="E110" t="s">
        <v>197</v>
      </c>
      <c r="F110" s="145">
        <f>C110/12</f>
        <v>7.4999999999999997E-3</v>
      </c>
    </row>
    <row r="111" spans="1:26" ht="14.25" hidden="1" customHeight="1" x14ac:dyDescent="0.4">
      <c r="A111" t="s">
        <v>198</v>
      </c>
      <c r="C111" s="146" t="s">
        <v>220</v>
      </c>
      <c r="E111" t="s">
        <v>200</v>
      </c>
      <c r="F111" s="147">
        <f>PMT(F110,F109,-C108,0)</f>
        <v>0</v>
      </c>
    </row>
    <row r="112" spans="1:26" ht="15" hidden="1" customHeight="1" x14ac:dyDescent="0.4"/>
    <row r="113" spans="1:83" ht="14.25" hidden="1" customHeight="1" x14ac:dyDescent="0.4">
      <c r="A113" s="71" t="s">
        <v>172</v>
      </c>
      <c r="B113" s="149">
        <v>9</v>
      </c>
      <c r="C113" s="149">
        <v>10</v>
      </c>
      <c r="D113" s="149">
        <v>11</v>
      </c>
      <c r="E113" s="149">
        <v>12</v>
      </c>
      <c r="F113" s="149">
        <v>13</v>
      </c>
      <c r="G113" s="149">
        <v>14</v>
      </c>
      <c r="H113" s="149">
        <v>15</v>
      </c>
      <c r="I113" s="149">
        <v>16</v>
      </c>
      <c r="J113" s="149">
        <v>17</v>
      </c>
      <c r="K113" s="149">
        <v>18</v>
      </c>
      <c r="L113" s="149">
        <v>19</v>
      </c>
      <c r="M113" s="149">
        <v>20</v>
      </c>
      <c r="N113" s="149">
        <v>21</v>
      </c>
      <c r="O113" s="149">
        <v>22</v>
      </c>
      <c r="P113" s="149">
        <v>23</v>
      </c>
      <c r="Q113" s="149">
        <v>24</v>
      </c>
      <c r="R113" s="149">
        <v>25</v>
      </c>
      <c r="S113" s="149">
        <v>26</v>
      </c>
      <c r="T113" s="149">
        <v>27</v>
      </c>
      <c r="U113" s="149">
        <v>28</v>
      </c>
      <c r="V113" s="149">
        <v>29</v>
      </c>
      <c r="W113" s="149">
        <v>30</v>
      </c>
      <c r="X113" s="149">
        <v>31</v>
      </c>
      <c r="Y113" s="149">
        <v>32</v>
      </c>
      <c r="Z113" s="149" t="s">
        <v>201</v>
      </c>
    </row>
    <row r="114" spans="1:83" ht="16.5" hidden="1" customHeight="1" x14ac:dyDescent="0.4">
      <c r="A114" s="24" t="s">
        <v>202</v>
      </c>
      <c r="B114" s="39">
        <f>C108</f>
        <v>0</v>
      </c>
      <c r="C114" s="39">
        <f t="shared" ref="C114:Y114" si="101">B118</f>
        <v>0</v>
      </c>
      <c r="D114" s="39">
        <f t="shared" si="101"/>
        <v>0</v>
      </c>
      <c r="E114" s="39">
        <f t="shared" si="101"/>
        <v>0</v>
      </c>
      <c r="F114" s="39">
        <f t="shared" si="101"/>
        <v>0</v>
      </c>
      <c r="G114" s="39">
        <f t="shared" si="101"/>
        <v>0</v>
      </c>
      <c r="H114" s="39">
        <f t="shared" si="101"/>
        <v>0</v>
      </c>
      <c r="I114" s="39">
        <f t="shared" si="101"/>
        <v>0</v>
      </c>
      <c r="J114" s="39">
        <f t="shared" si="101"/>
        <v>0</v>
      </c>
      <c r="K114" s="39">
        <f t="shared" si="101"/>
        <v>0</v>
      </c>
      <c r="L114" s="39">
        <f t="shared" si="101"/>
        <v>0</v>
      </c>
      <c r="M114" s="39">
        <f t="shared" si="101"/>
        <v>0</v>
      </c>
      <c r="N114" s="39">
        <f t="shared" si="101"/>
        <v>0</v>
      </c>
      <c r="O114" s="39">
        <f t="shared" si="101"/>
        <v>0</v>
      </c>
      <c r="P114" s="39">
        <f t="shared" si="101"/>
        <v>0</v>
      </c>
      <c r="Q114" s="39">
        <f t="shared" si="101"/>
        <v>0</v>
      </c>
      <c r="R114" s="39">
        <f t="shared" si="101"/>
        <v>0</v>
      </c>
      <c r="S114" s="39">
        <f t="shared" si="101"/>
        <v>0</v>
      </c>
      <c r="T114" s="39">
        <f t="shared" si="101"/>
        <v>0</v>
      </c>
      <c r="U114" s="39">
        <f t="shared" si="101"/>
        <v>0</v>
      </c>
      <c r="V114" s="39">
        <f t="shared" si="101"/>
        <v>0</v>
      </c>
      <c r="W114" s="39">
        <f t="shared" si="101"/>
        <v>0</v>
      </c>
      <c r="X114" s="39">
        <f t="shared" si="101"/>
        <v>0</v>
      </c>
      <c r="Y114" s="39">
        <f t="shared" si="101"/>
        <v>0</v>
      </c>
      <c r="Z114" s="39"/>
    </row>
    <row r="115" spans="1:83" ht="14.25" hidden="1" customHeight="1" x14ac:dyDescent="0.4">
      <c r="A115" s="24" t="s">
        <v>203</v>
      </c>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row>
    <row r="116" spans="1:83" ht="14.25" hidden="1" customHeight="1" x14ac:dyDescent="0.4">
      <c r="A116" s="24" t="s">
        <v>204</v>
      </c>
      <c r="B116" s="39">
        <f t="shared" ref="B116:Y116" si="102">-B114*$F$110</f>
        <v>0</v>
      </c>
      <c r="C116" s="39">
        <f t="shared" si="102"/>
        <v>0</v>
      </c>
      <c r="D116" s="39">
        <f t="shared" si="102"/>
        <v>0</v>
      </c>
      <c r="E116" s="39">
        <f t="shared" si="102"/>
        <v>0</v>
      </c>
      <c r="F116" s="39">
        <f t="shared" si="102"/>
        <v>0</v>
      </c>
      <c r="G116" s="39">
        <f t="shared" si="102"/>
        <v>0</v>
      </c>
      <c r="H116" s="39">
        <f t="shared" si="102"/>
        <v>0</v>
      </c>
      <c r="I116" s="39">
        <f t="shared" si="102"/>
        <v>0</v>
      </c>
      <c r="J116" s="39">
        <f t="shared" si="102"/>
        <v>0</v>
      </c>
      <c r="K116" s="39">
        <f t="shared" si="102"/>
        <v>0</v>
      </c>
      <c r="L116" s="39">
        <f t="shared" si="102"/>
        <v>0</v>
      </c>
      <c r="M116" s="39">
        <f t="shared" si="102"/>
        <v>0</v>
      </c>
      <c r="N116" s="39">
        <f t="shared" si="102"/>
        <v>0</v>
      </c>
      <c r="O116" s="39">
        <f t="shared" si="102"/>
        <v>0</v>
      </c>
      <c r="P116" s="39">
        <f t="shared" si="102"/>
        <v>0</v>
      </c>
      <c r="Q116" s="39">
        <f t="shared" si="102"/>
        <v>0</v>
      </c>
      <c r="R116" s="39">
        <f t="shared" si="102"/>
        <v>0</v>
      </c>
      <c r="S116" s="39">
        <f t="shared" si="102"/>
        <v>0</v>
      </c>
      <c r="T116" s="39">
        <f t="shared" si="102"/>
        <v>0</v>
      </c>
      <c r="U116" s="39">
        <f t="shared" si="102"/>
        <v>0</v>
      </c>
      <c r="V116" s="39">
        <f t="shared" si="102"/>
        <v>0</v>
      </c>
      <c r="W116" s="39">
        <f t="shared" si="102"/>
        <v>0</v>
      </c>
      <c r="X116" s="39">
        <f t="shared" si="102"/>
        <v>0</v>
      </c>
      <c r="Y116" s="39">
        <f t="shared" si="102"/>
        <v>0</v>
      </c>
      <c r="Z116" s="39">
        <f>SUM(B116:Y116)</f>
        <v>0</v>
      </c>
    </row>
    <row r="117" spans="1:83" ht="14.25" hidden="1" customHeight="1" x14ac:dyDescent="0.4">
      <c r="A117" s="24" t="s">
        <v>205</v>
      </c>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row>
    <row r="118" spans="1:83" ht="13.5" hidden="1" customHeight="1" x14ac:dyDescent="0.4">
      <c r="A118" s="24" t="s">
        <v>206</v>
      </c>
      <c r="B118" s="39">
        <f t="shared" ref="B118:Y118" si="103">B114-B117</f>
        <v>0</v>
      </c>
      <c r="C118" s="39">
        <f t="shared" si="103"/>
        <v>0</v>
      </c>
      <c r="D118" s="39">
        <f t="shared" si="103"/>
        <v>0</v>
      </c>
      <c r="E118" s="39">
        <f t="shared" si="103"/>
        <v>0</v>
      </c>
      <c r="F118" s="39">
        <f t="shared" si="103"/>
        <v>0</v>
      </c>
      <c r="G118" s="39">
        <f t="shared" si="103"/>
        <v>0</v>
      </c>
      <c r="H118" s="39">
        <f t="shared" si="103"/>
        <v>0</v>
      </c>
      <c r="I118" s="39">
        <f t="shared" si="103"/>
        <v>0</v>
      </c>
      <c r="J118" s="39">
        <f t="shared" si="103"/>
        <v>0</v>
      </c>
      <c r="K118" s="39">
        <f t="shared" si="103"/>
        <v>0</v>
      </c>
      <c r="L118" s="39">
        <f t="shared" si="103"/>
        <v>0</v>
      </c>
      <c r="M118" s="39">
        <f t="shared" si="103"/>
        <v>0</v>
      </c>
      <c r="N118" s="39">
        <f t="shared" si="103"/>
        <v>0</v>
      </c>
      <c r="O118" s="39">
        <f t="shared" si="103"/>
        <v>0</v>
      </c>
      <c r="P118" s="39">
        <f t="shared" si="103"/>
        <v>0</v>
      </c>
      <c r="Q118" s="39">
        <f t="shared" si="103"/>
        <v>0</v>
      </c>
      <c r="R118" s="39">
        <f t="shared" si="103"/>
        <v>0</v>
      </c>
      <c r="S118" s="39">
        <f t="shared" si="103"/>
        <v>0</v>
      </c>
      <c r="T118" s="39">
        <f t="shared" si="103"/>
        <v>0</v>
      </c>
      <c r="U118" s="39">
        <f t="shared" si="103"/>
        <v>0</v>
      </c>
      <c r="V118" s="39">
        <f t="shared" si="103"/>
        <v>0</v>
      </c>
      <c r="W118" s="39">
        <f t="shared" si="103"/>
        <v>0</v>
      </c>
      <c r="X118" s="39">
        <f t="shared" si="103"/>
        <v>0</v>
      </c>
      <c r="Y118" s="39">
        <f t="shared" si="103"/>
        <v>0</v>
      </c>
      <c r="Z118" s="39"/>
    </row>
    <row r="119" spans="1:83" ht="14.25" hidden="1" customHeight="1" x14ac:dyDescent="0.4">
      <c r="A119" s="148"/>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148"/>
      <c r="BJ119" s="148"/>
      <c r="BK119" s="148"/>
      <c r="BL119" s="148"/>
      <c r="BM119" s="148"/>
      <c r="BN119" s="148"/>
      <c r="BO119" s="148"/>
      <c r="BP119" s="148"/>
      <c r="BQ119" s="148"/>
      <c r="BR119" s="148"/>
      <c r="BS119" s="148"/>
      <c r="BT119" s="148"/>
      <c r="BU119" s="148"/>
      <c r="BV119" s="148"/>
      <c r="BW119" s="148"/>
      <c r="BX119" s="148"/>
      <c r="BY119" s="148"/>
      <c r="BZ119" s="148"/>
      <c r="CA119" s="148"/>
      <c r="CB119" s="148"/>
      <c r="CC119" s="148"/>
      <c r="CD119" s="148"/>
      <c r="CE119" s="148"/>
    </row>
    <row r="120" spans="1:83" ht="14.25" hidden="1" customHeight="1" x14ac:dyDescent="0.4"/>
    <row r="121" spans="1:83" ht="14.25" hidden="1" customHeight="1" x14ac:dyDescent="0.4">
      <c r="A121" s="24" t="s">
        <v>221</v>
      </c>
    </row>
    <row r="122" spans="1:83" ht="14.25" hidden="1" customHeight="1" x14ac:dyDescent="0.4">
      <c r="A122" s="131" t="s">
        <v>191</v>
      </c>
      <c r="B122" s="70"/>
      <c r="C122" s="142">
        <f>'Budget First 84 months'!M20</f>
        <v>0</v>
      </c>
      <c r="E122" t="s">
        <v>192</v>
      </c>
      <c r="F122" t="s">
        <v>193</v>
      </c>
    </row>
    <row r="123" spans="1:83" ht="14.25" hidden="1" customHeight="1" x14ac:dyDescent="0.4">
      <c r="A123" s="131" t="s">
        <v>194</v>
      </c>
      <c r="B123" s="70"/>
      <c r="C123" s="143">
        <v>7</v>
      </c>
      <c r="E123" t="s">
        <v>195</v>
      </c>
      <c r="F123" s="38">
        <v>60</v>
      </c>
    </row>
    <row r="124" spans="1:83" ht="14.25" hidden="1" customHeight="1" x14ac:dyDescent="0.4">
      <c r="A124" t="s">
        <v>196</v>
      </c>
      <c r="C124" s="144">
        <v>0.09</v>
      </c>
      <c r="E124" t="s">
        <v>197</v>
      </c>
      <c r="F124" s="145">
        <f>C124/12</f>
        <v>7.4999999999999997E-3</v>
      </c>
    </row>
    <row r="125" spans="1:83" ht="14.25" hidden="1" customHeight="1" x14ac:dyDescent="0.4">
      <c r="A125" t="s">
        <v>198</v>
      </c>
      <c r="C125" s="146" t="s">
        <v>213</v>
      </c>
      <c r="E125" t="s">
        <v>200</v>
      </c>
      <c r="F125" s="147">
        <f>PMT(F124,F123,-C122,0)</f>
        <v>0</v>
      </c>
    </row>
    <row r="126" spans="1:83" ht="15" hidden="1" customHeight="1" x14ac:dyDescent="0.4"/>
    <row r="127" spans="1:83" ht="14.25" hidden="1" customHeight="1" x14ac:dyDescent="0.4">
      <c r="A127" s="71" t="s">
        <v>172</v>
      </c>
      <c r="B127" s="149">
        <v>10</v>
      </c>
      <c r="C127" s="149">
        <v>11</v>
      </c>
      <c r="D127" s="149">
        <v>12</v>
      </c>
      <c r="E127" s="149">
        <v>13</v>
      </c>
      <c r="F127" s="149">
        <v>14</v>
      </c>
      <c r="G127" s="149">
        <v>15</v>
      </c>
      <c r="H127" s="149">
        <v>16</v>
      </c>
      <c r="I127" s="149">
        <v>17</v>
      </c>
      <c r="J127" s="149">
        <v>18</v>
      </c>
      <c r="K127" s="149">
        <v>19</v>
      </c>
      <c r="L127" s="149">
        <v>20</v>
      </c>
      <c r="M127" s="149">
        <v>21</v>
      </c>
      <c r="N127" s="149">
        <v>22</v>
      </c>
      <c r="O127" s="149">
        <v>23</v>
      </c>
      <c r="P127" s="149">
        <v>24</v>
      </c>
      <c r="Q127" s="149">
        <v>25</v>
      </c>
      <c r="R127" s="149">
        <v>26</v>
      </c>
      <c r="S127" s="149">
        <v>27</v>
      </c>
      <c r="T127" s="149">
        <v>28</v>
      </c>
      <c r="U127" s="149">
        <v>29</v>
      </c>
      <c r="V127" s="149">
        <v>30</v>
      </c>
      <c r="W127" s="149">
        <v>31</v>
      </c>
      <c r="X127" s="149">
        <v>32</v>
      </c>
      <c r="Y127" s="149">
        <v>33</v>
      </c>
      <c r="Z127" s="546"/>
      <c r="AA127" s="546">
        <v>34</v>
      </c>
      <c r="AB127" s="546">
        <v>35</v>
      </c>
      <c r="AC127" s="546">
        <v>36</v>
      </c>
      <c r="AD127" s="546">
        <v>37</v>
      </c>
      <c r="AE127" s="546">
        <v>38</v>
      </c>
      <c r="AF127" s="546">
        <v>39</v>
      </c>
      <c r="AG127" s="546">
        <v>40</v>
      </c>
      <c r="AH127" s="546">
        <v>41</v>
      </c>
      <c r="AI127" s="546">
        <v>42</v>
      </c>
      <c r="AJ127" s="546">
        <v>43</v>
      </c>
      <c r="AK127" s="546">
        <v>44</v>
      </c>
      <c r="AL127" s="546">
        <v>45</v>
      </c>
      <c r="AM127" s="546">
        <v>46</v>
      </c>
      <c r="AN127" s="546">
        <v>47</v>
      </c>
      <c r="AO127" s="546">
        <v>48</v>
      </c>
      <c r="AP127" s="546">
        <v>49</v>
      </c>
      <c r="AQ127" s="546">
        <v>50</v>
      </c>
      <c r="AR127" s="546">
        <v>51</v>
      </c>
      <c r="AS127" s="546">
        <v>52</v>
      </c>
      <c r="AT127" s="546">
        <v>53</v>
      </c>
      <c r="AU127" s="546">
        <v>54</v>
      </c>
      <c r="AV127" s="546">
        <v>55</v>
      </c>
      <c r="AW127" s="546">
        <v>56</v>
      </c>
      <c r="AX127" s="546">
        <v>57</v>
      </c>
      <c r="AY127" s="546">
        <v>58</v>
      </c>
      <c r="AZ127" s="546">
        <v>59</v>
      </c>
      <c r="BA127" s="546">
        <v>60</v>
      </c>
      <c r="BB127" s="546">
        <v>61</v>
      </c>
      <c r="BC127" s="546">
        <v>62</v>
      </c>
      <c r="BD127" s="546">
        <v>63</v>
      </c>
      <c r="BE127" s="546">
        <v>64</v>
      </c>
      <c r="BF127" s="546">
        <v>65</v>
      </c>
      <c r="BG127" s="546">
        <v>66</v>
      </c>
      <c r="BH127" s="546">
        <v>67</v>
      </c>
      <c r="BI127" s="546">
        <v>68</v>
      </c>
      <c r="BJ127" s="546">
        <v>69</v>
      </c>
      <c r="BK127" s="546">
        <v>70</v>
      </c>
      <c r="BL127" s="546">
        <v>71</v>
      </c>
      <c r="BM127" s="546">
        <v>72</v>
      </c>
      <c r="BN127" s="546">
        <v>73</v>
      </c>
      <c r="BO127" s="546">
        <v>74</v>
      </c>
      <c r="BP127" s="546">
        <v>75</v>
      </c>
      <c r="BQ127" s="546">
        <v>76</v>
      </c>
      <c r="BR127" s="546">
        <v>77</v>
      </c>
      <c r="BS127" s="546">
        <v>78</v>
      </c>
      <c r="BT127" s="546">
        <v>79</v>
      </c>
      <c r="BU127" s="546">
        <v>80</v>
      </c>
      <c r="BV127" s="546">
        <v>81</v>
      </c>
      <c r="BW127" s="546">
        <v>82</v>
      </c>
      <c r="BX127" s="546">
        <v>83</v>
      </c>
      <c r="BY127" s="546">
        <v>84</v>
      </c>
      <c r="BZ127" s="546">
        <v>85</v>
      </c>
      <c r="CA127" s="546"/>
    </row>
    <row r="128" spans="1:83" ht="16.5" hidden="1" customHeight="1" x14ac:dyDescent="0.4">
      <c r="A128" s="24" t="s">
        <v>202</v>
      </c>
      <c r="B128" s="39">
        <f>C122</f>
        <v>0</v>
      </c>
      <c r="C128" s="39">
        <f t="shared" ref="C128:Y128" si="104">B132</f>
        <v>0</v>
      </c>
      <c r="D128" s="39">
        <f t="shared" si="104"/>
        <v>0</v>
      </c>
      <c r="E128" s="39">
        <f t="shared" si="104"/>
        <v>0</v>
      </c>
      <c r="F128" s="39">
        <f t="shared" si="104"/>
        <v>0</v>
      </c>
      <c r="G128" s="39">
        <f t="shared" si="104"/>
        <v>0</v>
      </c>
      <c r="H128" s="39">
        <f t="shared" si="104"/>
        <v>0</v>
      </c>
      <c r="I128" s="39">
        <f t="shared" si="104"/>
        <v>0</v>
      </c>
      <c r="J128" s="39">
        <f t="shared" si="104"/>
        <v>0</v>
      </c>
      <c r="K128" s="39">
        <f t="shared" si="104"/>
        <v>0</v>
      </c>
      <c r="L128" s="39">
        <f t="shared" si="104"/>
        <v>0</v>
      </c>
      <c r="M128" s="39">
        <f t="shared" si="104"/>
        <v>0</v>
      </c>
      <c r="N128" s="39">
        <f t="shared" si="104"/>
        <v>0</v>
      </c>
      <c r="O128" s="39">
        <f t="shared" si="104"/>
        <v>0</v>
      </c>
      <c r="P128" s="39">
        <f t="shared" si="104"/>
        <v>0</v>
      </c>
      <c r="Q128" s="39">
        <f t="shared" si="104"/>
        <v>0</v>
      </c>
      <c r="R128" s="39">
        <f t="shared" si="104"/>
        <v>0</v>
      </c>
      <c r="S128" s="39">
        <f t="shared" si="104"/>
        <v>0</v>
      </c>
      <c r="T128" s="39">
        <f t="shared" si="104"/>
        <v>0</v>
      </c>
      <c r="U128" s="39">
        <f t="shared" si="104"/>
        <v>0</v>
      </c>
      <c r="V128" s="39">
        <f t="shared" si="104"/>
        <v>0</v>
      </c>
      <c r="W128" s="39">
        <f t="shared" si="104"/>
        <v>0</v>
      </c>
      <c r="X128" s="39">
        <f t="shared" si="104"/>
        <v>0</v>
      </c>
      <c r="Y128" s="39">
        <f t="shared" si="104"/>
        <v>0</v>
      </c>
      <c r="Z128" s="439"/>
      <c r="AA128" s="439">
        <f t="shared" ref="AA128" si="105">Y132</f>
        <v>0</v>
      </c>
      <c r="AB128" s="439">
        <f t="shared" ref="AB128:AV128" si="106">AA132</f>
        <v>0</v>
      </c>
      <c r="AC128" s="439">
        <f t="shared" si="106"/>
        <v>0</v>
      </c>
      <c r="AD128" s="439">
        <f t="shared" si="106"/>
        <v>0</v>
      </c>
      <c r="AE128" s="439">
        <f t="shared" si="106"/>
        <v>0</v>
      </c>
      <c r="AF128" s="439">
        <f t="shared" si="106"/>
        <v>0</v>
      </c>
      <c r="AG128" s="439">
        <f t="shared" si="106"/>
        <v>0</v>
      </c>
      <c r="AH128" s="439">
        <f t="shared" si="106"/>
        <v>0</v>
      </c>
      <c r="AI128" s="439">
        <f t="shared" si="106"/>
        <v>0</v>
      </c>
      <c r="AJ128" s="439">
        <f t="shared" si="106"/>
        <v>0</v>
      </c>
      <c r="AK128" s="439">
        <f t="shared" si="106"/>
        <v>0</v>
      </c>
      <c r="AL128" s="439">
        <f t="shared" si="106"/>
        <v>0</v>
      </c>
      <c r="AM128" s="439">
        <f t="shared" si="106"/>
        <v>0</v>
      </c>
      <c r="AN128" s="439">
        <f t="shared" si="106"/>
        <v>0</v>
      </c>
      <c r="AO128" s="439">
        <f t="shared" si="106"/>
        <v>0</v>
      </c>
      <c r="AP128" s="439">
        <f t="shared" si="106"/>
        <v>0</v>
      </c>
      <c r="AQ128" s="439">
        <f t="shared" si="106"/>
        <v>0</v>
      </c>
      <c r="AR128" s="439">
        <f t="shared" si="106"/>
        <v>0</v>
      </c>
      <c r="AS128" s="439">
        <f t="shared" si="106"/>
        <v>0</v>
      </c>
      <c r="AT128" s="439">
        <f t="shared" si="106"/>
        <v>0</v>
      </c>
      <c r="AU128" s="439">
        <f t="shared" si="106"/>
        <v>0</v>
      </c>
      <c r="AV128" s="439">
        <f t="shared" si="106"/>
        <v>0</v>
      </c>
      <c r="AW128" s="439">
        <f>AV132</f>
        <v>0</v>
      </c>
      <c r="AX128" s="439">
        <f>AW132</f>
        <v>0</v>
      </c>
      <c r="AY128" s="439">
        <f t="shared" ref="AY128:BI128" si="107">AX132</f>
        <v>0</v>
      </c>
      <c r="AZ128" s="439">
        <f t="shared" si="107"/>
        <v>0</v>
      </c>
      <c r="BA128" s="439">
        <f t="shared" si="107"/>
        <v>0</v>
      </c>
      <c r="BB128" s="439">
        <f t="shared" si="107"/>
        <v>0</v>
      </c>
      <c r="BC128" s="439">
        <f t="shared" si="107"/>
        <v>0</v>
      </c>
      <c r="BD128" s="439">
        <f t="shared" si="107"/>
        <v>0</v>
      </c>
      <c r="BE128" s="439">
        <f t="shared" si="107"/>
        <v>0</v>
      </c>
      <c r="BF128" s="439">
        <f t="shared" si="107"/>
        <v>0</v>
      </c>
      <c r="BG128" s="439">
        <f t="shared" si="107"/>
        <v>0</v>
      </c>
      <c r="BH128" s="439">
        <f t="shared" si="107"/>
        <v>0</v>
      </c>
      <c r="BI128" s="439">
        <f t="shared" si="107"/>
        <v>0</v>
      </c>
      <c r="BJ128" s="439">
        <f>BI132</f>
        <v>0</v>
      </c>
      <c r="BK128" s="439">
        <f t="shared" ref="BK128:BZ128" si="108">BJ132</f>
        <v>0</v>
      </c>
      <c r="BL128" s="439">
        <f t="shared" si="108"/>
        <v>0</v>
      </c>
      <c r="BM128" s="439">
        <f t="shared" si="108"/>
        <v>0</v>
      </c>
      <c r="BN128" s="439">
        <f t="shared" si="108"/>
        <v>0</v>
      </c>
      <c r="BO128" s="439">
        <f t="shared" si="108"/>
        <v>0</v>
      </c>
      <c r="BP128" s="439">
        <f t="shared" si="108"/>
        <v>0</v>
      </c>
      <c r="BQ128" s="439">
        <f t="shared" si="108"/>
        <v>0</v>
      </c>
      <c r="BR128" s="439">
        <f t="shared" si="108"/>
        <v>0</v>
      </c>
      <c r="BS128" s="439">
        <f t="shared" si="108"/>
        <v>0</v>
      </c>
      <c r="BT128" s="439">
        <f t="shared" si="108"/>
        <v>0</v>
      </c>
      <c r="BU128" s="439">
        <f t="shared" si="108"/>
        <v>0</v>
      </c>
      <c r="BV128" s="439">
        <f t="shared" si="108"/>
        <v>0</v>
      </c>
      <c r="BW128" s="439">
        <f t="shared" si="108"/>
        <v>0</v>
      </c>
      <c r="BX128" s="439">
        <f t="shared" si="108"/>
        <v>0</v>
      </c>
      <c r="BY128" s="439">
        <f t="shared" si="108"/>
        <v>0</v>
      </c>
      <c r="BZ128" s="439">
        <f t="shared" si="108"/>
        <v>0</v>
      </c>
      <c r="CA128" s="547"/>
    </row>
    <row r="129" spans="1:79" ht="14.25" hidden="1" customHeight="1" x14ac:dyDescent="0.4">
      <c r="A129" s="24" t="s">
        <v>203</v>
      </c>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439"/>
      <c r="AA129" s="439">
        <f>-$F$125+Z130</f>
        <v>0</v>
      </c>
      <c r="AB129" s="439">
        <f t="shared" ref="AB129:AM129" si="109">-$F$125</f>
        <v>0</v>
      </c>
      <c r="AC129" s="439">
        <f t="shared" si="109"/>
        <v>0</v>
      </c>
      <c r="AD129" s="439">
        <f t="shared" si="109"/>
        <v>0</v>
      </c>
      <c r="AE129" s="439">
        <f t="shared" si="109"/>
        <v>0</v>
      </c>
      <c r="AF129" s="439">
        <f t="shared" si="109"/>
        <v>0</v>
      </c>
      <c r="AG129" s="439">
        <f t="shared" si="109"/>
        <v>0</v>
      </c>
      <c r="AH129" s="439">
        <f t="shared" si="109"/>
        <v>0</v>
      </c>
      <c r="AI129" s="439">
        <f t="shared" si="109"/>
        <v>0</v>
      </c>
      <c r="AJ129" s="439">
        <f t="shared" si="109"/>
        <v>0</v>
      </c>
      <c r="AK129" s="439">
        <f t="shared" si="109"/>
        <v>0</v>
      </c>
      <c r="AL129" s="439">
        <f t="shared" si="109"/>
        <v>0</v>
      </c>
      <c r="AM129" s="439">
        <f t="shared" si="109"/>
        <v>0</v>
      </c>
      <c r="AN129" s="439">
        <f t="shared" ref="AN129:BX129" si="110">AM129</f>
        <v>0</v>
      </c>
      <c r="AO129" s="439">
        <f t="shared" si="110"/>
        <v>0</v>
      </c>
      <c r="AP129" s="439">
        <f t="shared" si="110"/>
        <v>0</v>
      </c>
      <c r="AQ129" s="439">
        <f t="shared" si="110"/>
        <v>0</v>
      </c>
      <c r="AR129" s="439">
        <f t="shared" si="110"/>
        <v>0</v>
      </c>
      <c r="AS129" s="439">
        <f t="shared" si="110"/>
        <v>0</v>
      </c>
      <c r="AT129" s="439">
        <f t="shared" si="110"/>
        <v>0</v>
      </c>
      <c r="AU129" s="439">
        <f t="shared" si="110"/>
        <v>0</v>
      </c>
      <c r="AV129" s="439">
        <f t="shared" si="110"/>
        <v>0</v>
      </c>
      <c r="AW129" s="439">
        <f t="shared" si="110"/>
        <v>0</v>
      </c>
      <c r="AX129" s="439">
        <f t="shared" si="110"/>
        <v>0</v>
      </c>
      <c r="AY129" s="439">
        <f t="shared" si="110"/>
        <v>0</v>
      </c>
      <c r="AZ129" s="439">
        <f t="shared" si="110"/>
        <v>0</v>
      </c>
      <c r="BA129" s="439">
        <f t="shared" si="110"/>
        <v>0</v>
      </c>
      <c r="BB129" s="439">
        <f t="shared" si="110"/>
        <v>0</v>
      </c>
      <c r="BC129" s="439">
        <f t="shared" si="110"/>
        <v>0</v>
      </c>
      <c r="BD129" s="439">
        <f t="shared" si="110"/>
        <v>0</v>
      </c>
      <c r="BE129" s="439">
        <f t="shared" si="110"/>
        <v>0</v>
      </c>
      <c r="BF129" s="439">
        <f t="shared" si="110"/>
        <v>0</v>
      </c>
      <c r="BG129" s="439">
        <f t="shared" si="110"/>
        <v>0</v>
      </c>
      <c r="BH129" s="439">
        <f t="shared" si="110"/>
        <v>0</v>
      </c>
      <c r="BI129" s="439">
        <f t="shared" si="110"/>
        <v>0</v>
      </c>
      <c r="BJ129" s="439">
        <f t="shared" si="110"/>
        <v>0</v>
      </c>
      <c r="BK129" s="439">
        <f t="shared" si="110"/>
        <v>0</v>
      </c>
      <c r="BL129" s="439">
        <f t="shared" si="110"/>
        <v>0</v>
      </c>
      <c r="BM129" s="439">
        <f t="shared" si="110"/>
        <v>0</v>
      </c>
      <c r="BN129" s="439">
        <f t="shared" si="110"/>
        <v>0</v>
      </c>
      <c r="BO129" s="439">
        <f t="shared" si="110"/>
        <v>0</v>
      </c>
      <c r="BP129" s="439">
        <f t="shared" si="110"/>
        <v>0</v>
      </c>
      <c r="BQ129" s="439">
        <f t="shared" si="110"/>
        <v>0</v>
      </c>
      <c r="BR129" s="439">
        <f t="shared" si="110"/>
        <v>0</v>
      </c>
      <c r="BS129" s="439">
        <f t="shared" si="110"/>
        <v>0</v>
      </c>
      <c r="BT129" s="439">
        <f t="shared" si="110"/>
        <v>0</v>
      </c>
      <c r="BU129" s="439">
        <f t="shared" si="110"/>
        <v>0</v>
      </c>
      <c r="BV129" s="439">
        <f t="shared" si="110"/>
        <v>0</v>
      </c>
      <c r="BW129" s="439">
        <f t="shared" si="110"/>
        <v>0</v>
      </c>
      <c r="BX129" s="439">
        <f t="shared" si="110"/>
        <v>0</v>
      </c>
      <c r="BY129" s="439">
        <f>-BY128+BY130</f>
        <v>0</v>
      </c>
      <c r="BZ129" s="439"/>
      <c r="CA129" s="547"/>
    </row>
    <row r="130" spans="1:79" ht="14.25" hidden="1" customHeight="1" x14ac:dyDescent="0.4">
      <c r="A130" s="24" t="s">
        <v>204</v>
      </c>
      <c r="B130" s="39">
        <f>-B128*$F$124</f>
        <v>0</v>
      </c>
      <c r="C130" s="39">
        <f t="shared" ref="C130:Y130" si="111">-C128*$F$124</f>
        <v>0</v>
      </c>
      <c r="D130" s="39">
        <f t="shared" si="111"/>
        <v>0</v>
      </c>
      <c r="E130" s="39">
        <f t="shared" si="111"/>
        <v>0</v>
      </c>
      <c r="F130" s="39">
        <f t="shared" si="111"/>
        <v>0</v>
      </c>
      <c r="G130" s="39">
        <f t="shared" si="111"/>
        <v>0</v>
      </c>
      <c r="H130" s="39">
        <f t="shared" si="111"/>
        <v>0</v>
      </c>
      <c r="I130" s="39">
        <f t="shared" si="111"/>
        <v>0</v>
      </c>
      <c r="J130" s="39">
        <f t="shared" si="111"/>
        <v>0</v>
      </c>
      <c r="K130" s="39">
        <f t="shared" si="111"/>
        <v>0</v>
      </c>
      <c r="L130" s="39">
        <f t="shared" si="111"/>
        <v>0</v>
      </c>
      <c r="M130" s="39">
        <f t="shared" si="111"/>
        <v>0</v>
      </c>
      <c r="N130" s="39">
        <f t="shared" si="111"/>
        <v>0</v>
      </c>
      <c r="O130" s="39">
        <f t="shared" si="111"/>
        <v>0</v>
      </c>
      <c r="P130" s="39">
        <f t="shared" si="111"/>
        <v>0</v>
      </c>
      <c r="Q130" s="39">
        <f t="shared" si="111"/>
        <v>0</v>
      </c>
      <c r="R130" s="39">
        <f t="shared" si="111"/>
        <v>0</v>
      </c>
      <c r="S130" s="39">
        <f t="shared" si="111"/>
        <v>0</v>
      </c>
      <c r="T130" s="39">
        <f t="shared" si="111"/>
        <v>0</v>
      </c>
      <c r="U130" s="39">
        <f t="shared" si="111"/>
        <v>0</v>
      </c>
      <c r="V130" s="39">
        <f t="shared" si="111"/>
        <v>0</v>
      </c>
      <c r="W130" s="39">
        <f t="shared" si="111"/>
        <v>0</v>
      </c>
      <c r="X130" s="39">
        <f t="shared" si="111"/>
        <v>0</v>
      </c>
      <c r="Y130" s="39">
        <f t="shared" si="111"/>
        <v>0</v>
      </c>
      <c r="Z130" s="439">
        <f>SUM(B130:Y130)</f>
        <v>0</v>
      </c>
      <c r="AA130" s="439">
        <f>-AA128*$F$124+Z130</f>
        <v>0</v>
      </c>
      <c r="AB130" s="39">
        <f t="shared" ref="AB130:BY130" si="112">-AB128*$F$124</f>
        <v>0</v>
      </c>
      <c r="AC130" s="39">
        <f t="shared" si="112"/>
        <v>0</v>
      </c>
      <c r="AD130" s="39">
        <f t="shared" si="112"/>
        <v>0</v>
      </c>
      <c r="AE130" s="39">
        <f t="shared" si="112"/>
        <v>0</v>
      </c>
      <c r="AF130" s="39">
        <f t="shared" si="112"/>
        <v>0</v>
      </c>
      <c r="AG130" s="39">
        <f t="shared" si="112"/>
        <v>0</v>
      </c>
      <c r="AH130" s="39">
        <f t="shared" si="112"/>
        <v>0</v>
      </c>
      <c r="AI130" s="39">
        <f t="shared" si="112"/>
        <v>0</v>
      </c>
      <c r="AJ130" s="39">
        <f t="shared" si="112"/>
        <v>0</v>
      </c>
      <c r="AK130" s="39">
        <f t="shared" si="112"/>
        <v>0</v>
      </c>
      <c r="AL130" s="39">
        <f t="shared" si="112"/>
        <v>0</v>
      </c>
      <c r="AM130" s="39">
        <f t="shared" si="112"/>
        <v>0</v>
      </c>
      <c r="AN130" s="39">
        <f t="shared" si="112"/>
        <v>0</v>
      </c>
      <c r="AO130" s="39">
        <f t="shared" si="112"/>
        <v>0</v>
      </c>
      <c r="AP130" s="39">
        <f t="shared" si="112"/>
        <v>0</v>
      </c>
      <c r="AQ130" s="39">
        <f t="shared" si="112"/>
        <v>0</v>
      </c>
      <c r="AR130" s="39">
        <f t="shared" si="112"/>
        <v>0</v>
      </c>
      <c r="AS130" s="39">
        <f t="shared" si="112"/>
        <v>0</v>
      </c>
      <c r="AT130" s="39">
        <f t="shared" si="112"/>
        <v>0</v>
      </c>
      <c r="AU130" s="39">
        <f t="shared" si="112"/>
        <v>0</v>
      </c>
      <c r="AV130" s="39">
        <f t="shared" si="112"/>
        <v>0</v>
      </c>
      <c r="AW130" s="39">
        <f t="shared" si="112"/>
        <v>0</v>
      </c>
      <c r="AX130" s="39">
        <f t="shared" si="112"/>
        <v>0</v>
      </c>
      <c r="AY130" s="39">
        <f t="shared" si="112"/>
        <v>0</v>
      </c>
      <c r="AZ130" s="39">
        <f t="shared" si="112"/>
        <v>0</v>
      </c>
      <c r="BA130" s="39">
        <f t="shared" si="112"/>
        <v>0</v>
      </c>
      <c r="BB130" s="39">
        <f t="shared" si="112"/>
        <v>0</v>
      </c>
      <c r="BC130" s="39">
        <f t="shared" si="112"/>
        <v>0</v>
      </c>
      <c r="BD130" s="39">
        <f t="shared" si="112"/>
        <v>0</v>
      </c>
      <c r="BE130" s="39">
        <f t="shared" si="112"/>
        <v>0</v>
      </c>
      <c r="BF130" s="39">
        <f t="shared" si="112"/>
        <v>0</v>
      </c>
      <c r="BG130" s="39">
        <f t="shared" si="112"/>
        <v>0</v>
      </c>
      <c r="BH130" s="39">
        <f t="shared" si="112"/>
        <v>0</v>
      </c>
      <c r="BI130" s="39">
        <f t="shared" si="112"/>
        <v>0</v>
      </c>
      <c r="BJ130" s="39">
        <f t="shared" si="112"/>
        <v>0</v>
      </c>
      <c r="BK130" s="39">
        <f t="shared" si="112"/>
        <v>0</v>
      </c>
      <c r="BL130" s="39">
        <f t="shared" si="112"/>
        <v>0</v>
      </c>
      <c r="BM130" s="39">
        <f t="shared" si="112"/>
        <v>0</v>
      </c>
      <c r="BN130" s="39">
        <f t="shared" si="112"/>
        <v>0</v>
      </c>
      <c r="BO130" s="39">
        <f t="shared" si="112"/>
        <v>0</v>
      </c>
      <c r="BP130" s="39">
        <f t="shared" si="112"/>
        <v>0</v>
      </c>
      <c r="BQ130" s="39">
        <f t="shared" si="112"/>
        <v>0</v>
      </c>
      <c r="BR130" s="39">
        <f t="shared" si="112"/>
        <v>0</v>
      </c>
      <c r="BS130" s="39">
        <f t="shared" si="112"/>
        <v>0</v>
      </c>
      <c r="BT130" s="39">
        <f t="shared" si="112"/>
        <v>0</v>
      </c>
      <c r="BU130" s="39">
        <f t="shared" si="112"/>
        <v>0</v>
      </c>
      <c r="BV130" s="39">
        <f t="shared" si="112"/>
        <v>0</v>
      </c>
      <c r="BW130" s="39">
        <f t="shared" si="112"/>
        <v>0</v>
      </c>
      <c r="BX130" s="39">
        <f t="shared" si="112"/>
        <v>0</v>
      </c>
      <c r="BY130" s="39">
        <f t="shared" si="112"/>
        <v>0</v>
      </c>
      <c r="BZ130" s="439">
        <f t="shared" ref="BZ130" si="113">-BZ128*$F$110</f>
        <v>0</v>
      </c>
      <c r="CA130" s="547"/>
    </row>
    <row r="131" spans="1:79" ht="14.25" hidden="1" customHeight="1" x14ac:dyDescent="0.4">
      <c r="A131" s="24" t="s">
        <v>205</v>
      </c>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439"/>
      <c r="AA131" s="439">
        <f t="shared" ref="AA131:BY131" si="114">-AA129+AA130</f>
        <v>0</v>
      </c>
      <c r="AB131" s="439">
        <f t="shared" si="114"/>
        <v>0</v>
      </c>
      <c r="AC131" s="439">
        <f t="shared" si="114"/>
        <v>0</v>
      </c>
      <c r="AD131" s="439">
        <f t="shared" si="114"/>
        <v>0</v>
      </c>
      <c r="AE131" s="439">
        <f t="shared" si="114"/>
        <v>0</v>
      </c>
      <c r="AF131" s="439">
        <f t="shared" si="114"/>
        <v>0</v>
      </c>
      <c r="AG131" s="439">
        <f t="shared" si="114"/>
        <v>0</v>
      </c>
      <c r="AH131" s="439">
        <f t="shared" si="114"/>
        <v>0</v>
      </c>
      <c r="AI131" s="439">
        <f t="shared" si="114"/>
        <v>0</v>
      </c>
      <c r="AJ131" s="439">
        <f t="shared" si="114"/>
        <v>0</v>
      </c>
      <c r="AK131" s="439">
        <f t="shared" si="114"/>
        <v>0</v>
      </c>
      <c r="AL131" s="439">
        <f t="shared" si="114"/>
        <v>0</v>
      </c>
      <c r="AM131" s="439">
        <f t="shared" si="114"/>
        <v>0</v>
      </c>
      <c r="AN131" s="439">
        <f t="shared" si="114"/>
        <v>0</v>
      </c>
      <c r="AO131" s="439">
        <f t="shared" si="114"/>
        <v>0</v>
      </c>
      <c r="AP131" s="439">
        <f t="shared" si="114"/>
        <v>0</v>
      </c>
      <c r="AQ131" s="439">
        <f t="shared" si="114"/>
        <v>0</v>
      </c>
      <c r="AR131" s="439">
        <f t="shared" si="114"/>
        <v>0</v>
      </c>
      <c r="AS131" s="439">
        <f t="shared" si="114"/>
        <v>0</v>
      </c>
      <c r="AT131" s="439">
        <f t="shared" si="114"/>
        <v>0</v>
      </c>
      <c r="AU131" s="439">
        <f t="shared" si="114"/>
        <v>0</v>
      </c>
      <c r="AV131" s="439">
        <f t="shared" si="114"/>
        <v>0</v>
      </c>
      <c r="AW131" s="439">
        <f t="shared" si="114"/>
        <v>0</v>
      </c>
      <c r="AX131" s="439">
        <f t="shared" si="114"/>
        <v>0</v>
      </c>
      <c r="AY131" s="439">
        <f t="shared" si="114"/>
        <v>0</v>
      </c>
      <c r="AZ131" s="439">
        <f t="shared" si="114"/>
        <v>0</v>
      </c>
      <c r="BA131" s="439">
        <f t="shared" si="114"/>
        <v>0</v>
      </c>
      <c r="BB131" s="439">
        <f t="shared" si="114"/>
        <v>0</v>
      </c>
      <c r="BC131" s="439">
        <f t="shared" si="114"/>
        <v>0</v>
      </c>
      <c r="BD131" s="439">
        <f t="shared" si="114"/>
        <v>0</v>
      </c>
      <c r="BE131" s="439">
        <f t="shared" si="114"/>
        <v>0</v>
      </c>
      <c r="BF131" s="439">
        <f t="shared" si="114"/>
        <v>0</v>
      </c>
      <c r="BG131" s="439">
        <f t="shared" si="114"/>
        <v>0</v>
      </c>
      <c r="BH131" s="439">
        <f t="shared" si="114"/>
        <v>0</v>
      </c>
      <c r="BI131" s="439">
        <f t="shared" si="114"/>
        <v>0</v>
      </c>
      <c r="BJ131" s="439">
        <f t="shared" si="114"/>
        <v>0</v>
      </c>
      <c r="BK131" s="439">
        <f t="shared" si="114"/>
        <v>0</v>
      </c>
      <c r="BL131" s="439">
        <f t="shared" si="114"/>
        <v>0</v>
      </c>
      <c r="BM131" s="439">
        <f t="shared" si="114"/>
        <v>0</v>
      </c>
      <c r="BN131" s="439">
        <f t="shared" si="114"/>
        <v>0</v>
      </c>
      <c r="BO131" s="439">
        <f t="shared" si="114"/>
        <v>0</v>
      </c>
      <c r="BP131" s="439">
        <f t="shared" si="114"/>
        <v>0</v>
      </c>
      <c r="BQ131" s="439">
        <f t="shared" si="114"/>
        <v>0</v>
      </c>
      <c r="BR131" s="439">
        <f t="shared" si="114"/>
        <v>0</v>
      </c>
      <c r="BS131" s="439">
        <f t="shared" si="114"/>
        <v>0</v>
      </c>
      <c r="BT131" s="439">
        <f t="shared" si="114"/>
        <v>0</v>
      </c>
      <c r="BU131" s="439">
        <f t="shared" si="114"/>
        <v>0</v>
      </c>
      <c r="BV131" s="439">
        <f t="shared" si="114"/>
        <v>0</v>
      </c>
      <c r="BW131" s="439">
        <f t="shared" si="114"/>
        <v>0</v>
      </c>
      <c r="BX131" s="439">
        <f t="shared" si="114"/>
        <v>0</v>
      </c>
      <c r="BY131" s="439">
        <f t="shared" si="114"/>
        <v>0</v>
      </c>
      <c r="BZ131" s="439">
        <f t="shared" ref="BZ131" si="115">BY132</f>
        <v>0</v>
      </c>
      <c r="CA131" s="547"/>
    </row>
    <row r="132" spans="1:79" ht="14.25" hidden="1" customHeight="1" x14ac:dyDescent="0.4">
      <c r="A132" s="24" t="s">
        <v>206</v>
      </c>
      <c r="B132" s="39">
        <f t="shared" ref="B132:Y132" si="116">B128-B131</f>
        <v>0</v>
      </c>
      <c r="C132" s="39">
        <f t="shared" si="116"/>
        <v>0</v>
      </c>
      <c r="D132" s="39">
        <f t="shared" si="116"/>
        <v>0</v>
      </c>
      <c r="E132" s="39">
        <f t="shared" si="116"/>
        <v>0</v>
      </c>
      <c r="F132" s="39">
        <f t="shared" si="116"/>
        <v>0</v>
      </c>
      <c r="G132" s="39">
        <f t="shared" si="116"/>
        <v>0</v>
      </c>
      <c r="H132" s="39">
        <f t="shared" si="116"/>
        <v>0</v>
      </c>
      <c r="I132" s="39">
        <f t="shared" si="116"/>
        <v>0</v>
      </c>
      <c r="J132" s="39">
        <f t="shared" si="116"/>
        <v>0</v>
      </c>
      <c r="K132" s="39">
        <f t="shared" si="116"/>
        <v>0</v>
      </c>
      <c r="L132" s="39">
        <f t="shared" si="116"/>
        <v>0</v>
      </c>
      <c r="M132" s="39">
        <f t="shared" si="116"/>
        <v>0</v>
      </c>
      <c r="N132" s="39">
        <f t="shared" si="116"/>
        <v>0</v>
      </c>
      <c r="O132" s="39">
        <f t="shared" si="116"/>
        <v>0</v>
      </c>
      <c r="P132" s="39">
        <f t="shared" si="116"/>
        <v>0</v>
      </c>
      <c r="Q132" s="39">
        <f t="shared" si="116"/>
        <v>0</v>
      </c>
      <c r="R132" s="39">
        <f t="shared" si="116"/>
        <v>0</v>
      </c>
      <c r="S132" s="39">
        <f t="shared" si="116"/>
        <v>0</v>
      </c>
      <c r="T132" s="39">
        <f t="shared" si="116"/>
        <v>0</v>
      </c>
      <c r="U132" s="39">
        <f t="shared" si="116"/>
        <v>0</v>
      </c>
      <c r="V132" s="39">
        <f t="shared" si="116"/>
        <v>0</v>
      </c>
      <c r="W132" s="39">
        <f t="shared" si="116"/>
        <v>0</v>
      </c>
      <c r="X132" s="39">
        <f t="shared" si="116"/>
        <v>0</v>
      </c>
      <c r="Y132" s="39">
        <f t="shared" si="116"/>
        <v>0</v>
      </c>
      <c r="Z132" s="439"/>
      <c r="AA132" s="439">
        <f t="shared" ref="AA132:BZ132" si="117">AA128-AA131</f>
        <v>0</v>
      </c>
      <c r="AB132" s="439">
        <f t="shared" si="117"/>
        <v>0</v>
      </c>
      <c r="AC132" s="439">
        <f t="shared" si="117"/>
        <v>0</v>
      </c>
      <c r="AD132" s="439">
        <f t="shared" si="117"/>
        <v>0</v>
      </c>
      <c r="AE132" s="439">
        <f t="shared" si="117"/>
        <v>0</v>
      </c>
      <c r="AF132" s="439">
        <f t="shared" si="117"/>
        <v>0</v>
      </c>
      <c r="AG132" s="439">
        <f t="shared" si="117"/>
        <v>0</v>
      </c>
      <c r="AH132" s="439">
        <f t="shared" si="117"/>
        <v>0</v>
      </c>
      <c r="AI132" s="439">
        <f t="shared" si="117"/>
        <v>0</v>
      </c>
      <c r="AJ132" s="439">
        <f t="shared" si="117"/>
        <v>0</v>
      </c>
      <c r="AK132" s="439">
        <f t="shared" si="117"/>
        <v>0</v>
      </c>
      <c r="AL132" s="439">
        <f t="shared" si="117"/>
        <v>0</v>
      </c>
      <c r="AM132" s="439">
        <f t="shared" si="117"/>
        <v>0</v>
      </c>
      <c r="AN132" s="439">
        <f t="shared" si="117"/>
        <v>0</v>
      </c>
      <c r="AO132" s="439">
        <f t="shared" si="117"/>
        <v>0</v>
      </c>
      <c r="AP132" s="439">
        <f t="shared" si="117"/>
        <v>0</v>
      </c>
      <c r="AQ132" s="439">
        <f t="shared" si="117"/>
        <v>0</v>
      </c>
      <c r="AR132" s="439">
        <f t="shared" si="117"/>
        <v>0</v>
      </c>
      <c r="AS132" s="439">
        <f t="shared" si="117"/>
        <v>0</v>
      </c>
      <c r="AT132" s="439">
        <f t="shared" si="117"/>
        <v>0</v>
      </c>
      <c r="AU132" s="439">
        <f t="shared" si="117"/>
        <v>0</v>
      </c>
      <c r="AV132" s="439">
        <f t="shared" si="117"/>
        <v>0</v>
      </c>
      <c r="AW132" s="439">
        <f t="shared" si="117"/>
        <v>0</v>
      </c>
      <c r="AX132" s="439">
        <f t="shared" si="117"/>
        <v>0</v>
      </c>
      <c r="AY132" s="439">
        <f t="shared" si="117"/>
        <v>0</v>
      </c>
      <c r="AZ132" s="439">
        <f t="shared" si="117"/>
        <v>0</v>
      </c>
      <c r="BA132" s="439">
        <f t="shared" si="117"/>
        <v>0</v>
      </c>
      <c r="BB132" s="439">
        <f t="shared" si="117"/>
        <v>0</v>
      </c>
      <c r="BC132" s="439">
        <f t="shared" si="117"/>
        <v>0</v>
      </c>
      <c r="BD132" s="439">
        <f t="shared" si="117"/>
        <v>0</v>
      </c>
      <c r="BE132" s="439">
        <f t="shared" si="117"/>
        <v>0</v>
      </c>
      <c r="BF132" s="439">
        <f t="shared" si="117"/>
        <v>0</v>
      </c>
      <c r="BG132" s="439">
        <f t="shared" si="117"/>
        <v>0</v>
      </c>
      <c r="BH132" s="439">
        <f t="shared" si="117"/>
        <v>0</v>
      </c>
      <c r="BI132" s="439">
        <f t="shared" si="117"/>
        <v>0</v>
      </c>
      <c r="BJ132" s="439">
        <f t="shared" si="117"/>
        <v>0</v>
      </c>
      <c r="BK132" s="439">
        <f t="shared" si="117"/>
        <v>0</v>
      </c>
      <c r="BL132" s="439">
        <f t="shared" si="117"/>
        <v>0</v>
      </c>
      <c r="BM132" s="439">
        <f t="shared" si="117"/>
        <v>0</v>
      </c>
      <c r="BN132" s="439">
        <f t="shared" si="117"/>
        <v>0</v>
      </c>
      <c r="BO132" s="439">
        <f t="shared" si="117"/>
        <v>0</v>
      </c>
      <c r="BP132" s="439">
        <f t="shared" si="117"/>
        <v>0</v>
      </c>
      <c r="BQ132" s="439">
        <f t="shared" si="117"/>
        <v>0</v>
      </c>
      <c r="BR132" s="439">
        <f t="shared" si="117"/>
        <v>0</v>
      </c>
      <c r="BS132" s="439">
        <f t="shared" si="117"/>
        <v>0</v>
      </c>
      <c r="BT132" s="439">
        <f t="shared" si="117"/>
        <v>0</v>
      </c>
      <c r="BU132" s="439">
        <f t="shared" si="117"/>
        <v>0</v>
      </c>
      <c r="BV132" s="439">
        <f t="shared" si="117"/>
        <v>0</v>
      </c>
      <c r="BW132" s="439">
        <f t="shared" si="117"/>
        <v>0</v>
      </c>
      <c r="BX132" s="439">
        <f t="shared" si="117"/>
        <v>0</v>
      </c>
      <c r="BY132" s="439">
        <f t="shared" si="117"/>
        <v>0</v>
      </c>
      <c r="BZ132" s="439">
        <f t="shared" si="117"/>
        <v>0</v>
      </c>
      <c r="CA132" s="547"/>
    </row>
    <row r="133" spans="1:79" ht="14.25" hidden="1" customHeight="1" x14ac:dyDescent="0.4">
      <c r="A133" s="148"/>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545"/>
      <c r="AA133" s="545"/>
      <c r="AB133" s="545"/>
      <c r="AC133" s="545"/>
      <c r="AD133" s="545"/>
      <c r="AE133" s="545"/>
      <c r="AF133" s="545"/>
      <c r="AG133" s="545"/>
      <c r="AH133" s="545"/>
      <c r="AI133" s="545"/>
      <c r="AJ133" s="545"/>
      <c r="AK133" s="545"/>
      <c r="AL133" s="545"/>
      <c r="AM133" s="545"/>
      <c r="AN133" s="545"/>
      <c r="AO133" s="545"/>
      <c r="AP133" s="545"/>
      <c r="AQ133" s="545"/>
      <c r="AR133" s="545"/>
      <c r="AS133" s="545"/>
      <c r="AT133" s="545"/>
      <c r="AU133" s="545"/>
      <c r="AV133" s="545"/>
      <c r="AW133" s="545"/>
      <c r="AX133" s="545"/>
      <c r="AY133" s="545"/>
      <c r="AZ133" s="545"/>
      <c r="BA133" s="545"/>
      <c r="BB133" s="545"/>
      <c r="BC133" s="545"/>
      <c r="BD133" s="545"/>
      <c r="BE133" s="545"/>
      <c r="BF133" s="545"/>
      <c r="BG133" s="545"/>
      <c r="BH133" s="545"/>
      <c r="BI133" s="545"/>
      <c r="BJ133" s="545"/>
      <c r="BK133" s="545"/>
      <c r="BL133" s="545"/>
      <c r="BM133" s="545"/>
      <c r="BN133" s="545"/>
      <c r="BO133" s="545"/>
      <c r="BP133" s="545"/>
      <c r="BQ133" s="545"/>
      <c r="BR133" s="545"/>
      <c r="BS133" s="545"/>
      <c r="BT133" s="545"/>
      <c r="BU133" s="545"/>
      <c r="BV133" s="545"/>
      <c r="BW133" s="545"/>
      <c r="BX133" s="545"/>
      <c r="BY133" s="545"/>
      <c r="BZ133" s="545"/>
    </row>
    <row r="134" spans="1:79" ht="14.25" hidden="1" customHeight="1" x14ac:dyDescent="0.4"/>
    <row r="135" spans="1:79" ht="14.25" hidden="1" customHeight="1" x14ac:dyDescent="0.4">
      <c r="A135" s="24" t="s">
        <v>222</v>
      </c>
    </row>
    <row r="136" spans="1:79" ht="14.25" hidden="1" customHeight="1" x14ac:dyDescent="0.4">
      <c r="A136" s="131" t="s">
        <v>191</v>
      </c>
      <c r="B136" s="70"/>
      <c r="C136" s="142">
        <f>'Budget First 84 months'!N20</f>
        <v>0</v>
      </c>
      <c r="E136" t="s">
        <v>192</v>
      </c>
      <c r="F136" t="s">
        <v>193</v>
      </c>
    </row>
    <row r="137" spans="1:79" ht="14.25" hidden="1" customHeight="1" x14ac:dyDescent="0.4">
      <c r="A137" s="131" t="s">
        <v>194</v>
      </c>
      <c r="B137" s="70"/>
      <c r="C137" s="143">
        <v>7</v>
      </c>
      <c r="E137" t="s">
        <v>195</v>
      </c>
      <c r="F137" s="38">
        <v>60</v>
      </c>
    </row>
    <row r="138" spans="1:79" ht="14.25" hidden="1" customHeight="1" x14ac:dyDescent="0.4">
      <c r="A138" t="s">
        <v>196</v>
      </c>
      <c r="C138" s="144">
        <v>0.09</v>
      </c>
      <c r="E138" t="s">
        <v>197</v>
      </c>
      <c r="F138" s="145">
        <f>C138/12</f>
        <v>7.4999999999999997E-3</v>
      </c>
    </row>
    <row r="139" spans="1:79" ht="14.25" hidden="1" customHeight="1" x14ac:dyDescent="0.4">
      <c r="A139" t="s">
        <v>198</v>
      </c>
      <c r="C139" s="146" t="s">
        <v>223</v>
      </c>
      <c r="E139" t="s">
        <v>200</v>
      </c>
      <c r="F139" s="147">
        <f>PMT(F138,F137,-C136,0)</f>
        <v>0</v>
      </c>
    </row>
    <row r="140" spans="1:79" ht="15" hidden="1" customHeight="1" x14ac:dyDescent="0.4"/>
    <row r="141" spans="1:79" ht="14.25" hidden="1" customHeight="1" x14ac:dyDescent="0.4">
      <c r="A141" s="71" t="s">
        <v>172</v>
      </c>
      <c r="B141" s="149">
        <v>11</v>
      </c>
      <c r="C141" s="149">
        <v>12</v>
      </c>
      <c r="D141" s="149">
        <v>13</v>
      </c>
      <c r="E141" s="149">
        <v>14</v>
      </c>
      <c r="F141" s="149">
        <v>15</v>
      </c>
      <c r="G141" s="149">
        <v>16</v>
      </c>
      <c r="H141" s="149">
        <v>17</v>
      </c>
      <c r="I141" s="149">
        <v>18</v>
      </c>
      <c r="J141" s="149">
        <v>19</v>
      </c>
      <c r="K141" s="149">
        <v>20</v>
      </c>
      <c r="L141" s="149">
        <v>21</v>
      </c>
      <c r="M141" s="149">
        <v>22</v>
      </c>
      <c r="N141" s="149">
        <v>23</v>
      </c>
      <c r="O141" s="149">
        <v>24</v>
      </c>
      <c r="P141" s="149">
        <v>25</v>
      </c>
      <c r="Q141" s="149">
        <v>26</v>
      </c>
      <c r="R141" s="149">
        <v>27</v>
      </c>
      <c r="S141" s="149">
        <v>28</v>
      </c>
      <c r="T141" s="149">
        <v>29</v>
      </c>
      <c r="U141" s="149">
        <v>30</v>
      </c>
      <c r="V141" s="149">
        <v>31</v>
      </c>
      <c r="W141" s="149">
        <v>32</v>
      </c>
      <c r="X141" s="149">
        <v>33</v>
      </c>
      <c r="Y141" s="149">
        <v>34</v>
      </c>
      <c r="Z141" s="149" t="s">
        <v>201</v>
      </c>
    </row>
    <row r="142" spans="1:79" ht="16.5" hidden="1" customHeight="1" x14ac:dyDescent="0.4">
      <c r="A142" s="24" t="s">
        <v>202</v>
      </c>
      <c r="B142" s="39">
        <f>C136</f>
        <v>0</v>
      </c>
      <c r="C142" s="39">
        <f t="shared" ref="C142:Y142" si="118">B146</f>
        <v>0</v>
      </c>
      <c r="D142" s="39">
        <f t="shared" si="118"/>
        <v>0</v>
      </c>
      <c r="E142" s="39">
        <f t="shared" si="118"/>
        <v>0</v>
      </c>
      <c r="F142" s="39">
        <f t="shared" si="118"/>
        <v>0</v>
      </c>
      <c r="G142" s="39">
        <f t="shared" si="118"/>
        <v>0</v>
      </c>
      <c r="H142" s="39">
        <f t="shared" si="118"/>
        <v>0</v>
      </c>
      <c r="I142" s="39">
        <f t="shared" si="118"/>
        <v>0</v>
      </c>
      <c r="J142" s="39">
        <f t="shared" si="118"/>
        <v>0</v>
      </c>
      <c r="K142" s="39">
        <f t="shared" si="118"/>
        <v>0</v>
      </c>
      <c r="L142" s="39">
        <f t="shared" si="118"/>
        <v>0</v>
      </c>
      <c r="M142" s="39">
        <f t="shared" si="118"/>
        <v>0</v>
      </c>
      <c r="N142" s="39">
        <f t="shared" si="118"/>
        <v>0</v>
      </c>
      <c r="O142" s="39">
        <f t="shared" si="118"/>
        <v>0</v>
      </c>
      <c r="P142" s="39">
        <f t="shared" si="118"/>
        <v>0</v>
      </c>
      <c r="Q142" s="39">
        <f t="shared" si="118"/>
        <v>0</v>
      </c>
      <c r="R142" s="39">
        <f t="shared" si="118"/>
        <v>0</v>
      </c>
      <c r="S142" s="39">
        <f t="shared" si="118"/>
        <v>0</v>
      </c>
      <c r="T142" s="39">
        <f t="shared" si="118"/>
        <v>0</v>
      </c>
      <c r="U142" s="39">
        <f t="shared" si="118"/>
        <v>0</v>
      </c>
      <c r="V142" s="39">
        <f t="shared" si="118"/>
        <v>0</v>
      </c>
      <c r="W142" s="39">
        <f t="shared" si="118"/>
        <v>0</v>
      </c>
      <c r="X142" s="39">
        <f t="shared" si="118"/>
        <v>0</v>
      </c>
      <c r="Y142" s="39">
        <f t="shared" si="118"/>
        <v>0</v>
      </c>
      <c r="Z142" s="39"/>
    </row>
    <row r="143" spans="1:79" ht="14.25" hidden="1" customHeight="1" x14ac:dyDescent="0.4">
      <c r="A143" s="24" t="s">
        <v>203</v>
      </c>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row>
    <row r="144" spans="1:79" ht="14.25" hidden="1" customHeight="1" x14ac:dyDescent="0.4">
      <c r="A144" s="24" t="s">
        <v>204</v>
      </c>
      <c r="B144" s="39">
        <f t="shared" ref="B144:Y144" si="119">-B142*$F$110</f>
        <v>0</v>
      </c>
      <c r="C144" s="39">
        <f t="shared" si="119"/>
        <v>0</v>
      </c>
      <c r="D144" s="39">
        <f t="shared" si="119"/>
        <v>0</v>
      </c>
      <c r="E144" s="39">
        <f t="shared" si="119"/>
        <v>0</v>
      </c>
      <c r="F144" s="39">
        <f t="shared" si="119"/>
        <v>0</v>
      </c>
      <c r="G144" s="39">
        <f t="shared" si="119"/>
        <v>0</v>
      </c>
      <c r="H144" s="39">
        <f t="shared" si="119"/>
        <v>0</v>
      </c>
      <c r="I144" s="39">
        <f t="shared" si="119"/>
        <v>0</v>
      </c>
      <c r="J144" s="39">
        <f t="shared" si="119"/>
        <v>0</v>
      </c>
      <c r="K144" s="39">
        <f t="shared" si="119"/>
        <v>0</v>
      </c>
      <c r="L144" s="39">
        <f t="shared" si="119"/>
        <v>0</v>
      </c>
      <c r="M144" s="39">
        <f t="shared" si="119"/>
        <v>0</v>
      </c>
      <c r="N144" s="39">
        <f t="shared" si="119"/>
        <v>0</v>
      </c>
      <c r="O144" s="39">
        <f t="shared" si="119"/>
        <v>0</v>
      </c>
      <c r="P144" s="39">
        <f t="shared" si="119"/>
        <v>0</v>
      </c>
      <c r="Q144" s="39">
        <f t="shared" si="119"/>
        <v>0</v>
      </c>
      <c r="R144" s="39">
        <f t="shared" si="119"/>
        <v>0</v>
      </c>
      <c r="S144" s="39">
        <f t="shared" si="119"/>
        <v>0</v>
      </c>
      <c r="T144" s="39">
        <f t="shared" si="119"/>
        <v>0</v>
      </c>
      <c r="U144" s="39">
        <f t="shared" si="119"/>
        <v>0</v>
      </c>
      <c r="V144" s="39">
        <f t="shared" si="119"/>
        <v>0</v>
      </c>
      <c r="W144" s="39">
        <f t="shared" si="119"/>
        <v>0</v>
      </c>
      <c r="X144" s="39">
        <f t="shared" si="119"/>
        <v>0</v>
      </c>
      <c r="Y144" s="39">
        <f t="shared" si="119"/>
        <v>0</v>
      </c>
      <c r="Z144" s="39">
        <f>SUM(B144:Y144)</f>
        <v>0</v>
      </c>
    </row>
    <row r="145" spans="1:26" ht="14.25" hidden="1" customHeight="1" x14ac:dyDescent="0.4">
      <c r="A145" s="24" t="s">
        <v>205</v>
      </c>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row>
    <row r="146" spans="1:26" ht="14.25" hidden="1" customHeight="1" x14ac:dyDescent="0.4">
      <c r="A146" s="24" t="s">
        <v>206</v>
      </c>
      <c r="B146" s="39">
        <f t="shared" ref="B146:Y146" si="120">B142-B145</f>
        <v>0</v>
      </c>
      <c r="C146" s="39">
        <f t="shared" si="120"/>
        <v>0</v>
      </c>
      <c r="D146" s="39">
        <f t="shared" si="120"/>
        <v>0</v>
      </c>
      <c r="E146" s="39">
        <f t="shared" si="120"/>
        <v>0</v>
      </c>
      <c r="F146" s="39">
        <f t="shared" si="120"/>
        <v>0</v>
      </c>
      <c r="G146" s="39">
        <f t="shared" si="120"/>
        <v>0</v>
      </c>
      <c r="H146" s="39">
        <f t="shared" si="120"/>
        <v>0</v>
      </c>
      <c r="I146" s="39">
        <f t="shared" si="120"/>
        <v>0</v>
      </c>
      <c r="J146" s="39">
        <f t="shared" si="120"/>
        <v>0</v>
      </c>
      <c r="K146" s="39">
        <f t="shared" si="120"/>
        <v>0</v>
      </c>
      <c r="L146" s="39">
        <f t="shared" si="120"/>
        <v>0</v>
      </c>
      <c r="M146" s="39">
        <f t="shared" si="120"/>
        <v>0</v>
      </c>
      <c r="N146" s="39">
        <f t="shared" si="120"/>
        <v>0</v>
      </c>
      <c r="O146" s="39">
        <f t="shared" si="120"/>
        <v>0</v>
      </c>
      <c r="P146" s="39">
        <f t="shared" si="120"/>
        <v>0</v>
      </c>
      <c r="Q146" s="39">
        <f t="shared" si="120"/>
        <v>0</v>
      </c>
      <c r="R146" s="39">
        <f t="shared" si="120"/>
        <v>0</v>
      </c>
      <c r="S146" s="39">
        <f t="shared" si="120"/>
        <v>0</v>
      </c>
      <c r="T146" s="39">
        <f t="shared" si="120"/>
        <v>0</v>
      </c>
      <c r="U146" s="39">
        <f t="shared" si="120"/>
        <v>0</v>
      </c>
      <c r="V146" s="39">
        <f t="shared" si="120"/>
        <v>0</v>
      </c>
      <c r="W146" s="39">
        <f t="shared" si="120"/>
        <v>0</v>
      </c>
      <c r="X146" s="39">
        <f t="shared" si="120"/>
        <v>0</v>
      </c>
      <c r="Y146" s="39">
        <f t="shared" si="120"/>
        <v>0</v>
      </c>
      <c r="Z146" s="39"/>
    </row>
    <row r="147" spans="1:26" ht="14.25" hidden="1" customHeight="1" x14ac:dyDescent="0.4">
      <c r="A147" s="148"/>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row>
    <row r="148" spans="1:26" ht="14.25" hidden="1" customHeight="1" x14ac:dyDescent="0.4"/>
    <row r="149" spans="1:26" ht="14.25" hidden="1" customHeight="1" thickBot="1" x14ac:dyDescent="0.45">
      <c r="A149" s="633" t="s">
        <v>189</v>
      </c>
      <c r="B149" s="634"/>
      <c r="C149" s="24"/>
    </row>
    <row r="150" spans="1:26" ht="14.25" hidden="1" customHeight="1" x14ac:dyDescent="0.4">
      <c r="A150" s="71" t="s">
        <v>224</v>
      </c>
      <c r="B150" s="71"/>
      <c r="C150" s="24"/>
    </row>
    <row r="151" spans="1:26" ht="14.25" hidden="1" customHeight="1" x14ac:dyDescent="0.4">
      <c r="A151" s="131" t="s">
        <v>191</v>
      </c>
      <c r="B151" s="70"/>
      <c r="C151" s="142">
        <f>'Budget First 84 months'!O20</f>
        <v>0</v>
      </c>
      <c r="E151" t="s">
        <v>192</v>
      </c>
      <c r="F151" t="s">
        <v>193</v>
      </c>
    </row>
    <row r="152" spans="1:26" ht="14.25" hidden="1" customHeight="1" x14ac:dyDescent="0.4">
      <c r="A152" s="131" t="s">
        <v>194</v>
      </c>
      <c r="B152" s="70"/>
      <c r="C152" s="143">
        <v>7</v>
      </c>
      <c r="E152" t="s">
        <v>195</v>
      </c>
      <c r="F152" s="38">
        <v>60</v>
      </c>
    </row>
    <row r="153" spans="1:26" ht="14.25" hidden="1" customHeight="1" x14ac:dyDescent="0.4">
      <c r="A153" t="s">
        <v>196</v>
      </c>
      <c r="C153" s="144">
        <v>0.09</v>
      </c>
      <c r="E153" t="s">
        <v>197</v>
      </c>
      <c r="F153" s="145">
        <f>C153/12</f>
        <v>7.4999999999999997E-3</v>
      </c>
    </row>
    <row r="154" spans="1:26" ht="14.25" hidden="1" customHeight="1" x14ac:dyDescent="0.4">
      <c r="A154" t="s">
        <v>198</v>
      </c>
      <c r="C154" s="146" t="s">
        <v>225</v>
      </c>
      <c r="E154" t="s">
        <v>200</v>
      </c>
      <c r="F154" s="147">
        <f>PMT(F153,F152,-C151,0)</f>
        <v>0</v>
      </c>
    </row>
    <row r="155" spans="1:26" ht="15" hidden="1" customHeight="1" x14ac:dyDescent="0.4"/>
    <row r="156" spans="1:26" ht="14.25" hidden="1" customHeight="1" x14ac:dyDescent="0.4">
      <c r="A156" s="71" t="s">
        <v>172</v>
      </c>
      <c r="B156" s="71">
        <v>12</v>
      </c>
      <c r="C156" s="71">
        <v>13</v>
      </c>
      <c r="D156" s="71">
        <v>14</v>
      </c>
      <c r="E156" s="71">
        <v>15</v>
      </c>
      <c r="F156" s="71">
        <v>16</v>
      </c>
      <c r="G156" s="71">
        <v>17</v>
      </c>
      <c r="H156" s="71">
        <v>18</v>
      </c>
      <c r="I156" s="71">
        <v>19</v>
      </c>
      <c r="J156" s="71">
        <v>20</v>
      </c>
      <c r="K156" s="71">
        <v>21</v>
      </c>
      <c r="L156" s="71">
        <v>22</v>
      </c>
      <c r="M156" s="71">
        <v>23</v>
      </c>
      <c r="N156" s="71">
        <v>24</v>
      </c>
      <c r="O156" s="71">
        <v>25</v>
      </c>
      <c r="P156" s="71">
        <v>26</v>
      </c>
      <c r="Q156" s="71">
        <v>27</v>
      </c>
      <c r="R156" s="71">
        <v>28</v>
      </c>
      <c r="S156" s="71">
        <v>29</v>
      </c>
      <c r="T156" s="71">
        <v>30</v>
      </c>
      <c r="U156" s="71">
        <v>31</v>
      </c>
      <c r="V156" s="71">
        <v>32</v>
      </c>
      <c r="W156" s="71">
        <v>33</v>
      </c>
      <c r="X156" s="71">
        <v>34</v>
      </c>
      <c r="Y156" s="71">
        <v>35</v>
      </c>
      <c r="Z156" s="71"/>
    </row>
    <row r="157" spans="1:26" ht="16.5" hidden="1" customHeight="1" x14ac:dyDescent="0.4">
      <c r="A157" s="24" t="s">
        <v>202</v>
      </c>
      <c r="B157" s="39">
        <f>C151</f>
        <v>0</v>
      </c>
      <c r="C157" s="39">
        <f t="shared" ref="C157:Y157" si="121">B161</f>
        <v>0</v>
      </c>
      <c r="D157" s="39">
        <f t="shared" si="121"/>
        <v>0</v>
      </c>
      <c r="E157" s="39">
        <f t="shared" si="121"/>
        <v>0</v>
      </c>
      <c r="F157" s="39">
        <f t="shared" si="121"/>
        <v>0</v>
      </c>
      <c r="G157" s="39">
        <f t="shared" si="121"/>
        <v>0</v>
      </c>
      <c r="H157" s="39">
        <f t="shared" si="121"/>
        <v>0</v>
      </c>
      <c r="I157" s="39">
        <f t="shared" si="121"/>
        <v>0</v>
      </c>
      <c r="J157" s="39">
        <f t="shared" si="121"/>
        <v>0</v>
      </c>
      <c r="K157" s="39">
        <f t="shared" si="121"/>
        <v>0</v>
      </c>
      <c r="L157" s="39">
        <f t="shared" si="121"/>
        <v>0</v>
      </c>
      <c r="M157" s="39">
        <f t="shared" si="121"/>
        <v>0</v>
      </c>
      <c r="N157" s="39">
        <f t="shared" si="121"/>
        <v>0</v>
      </c>
      <c r="O157" s="39">
        <f t="shared" si="121"/>
        <v>0</v>
      </c>
      <c r="P157" s="39">
        <f t="shared" si="121"/>
        <v>0</v>
      </c>
      <c r="Q157" s="39">
        <f t="shared" si="121"/>
        <v>0</v>
      </c>
      <c r="R157" s="39">
        <f t="shared" si="121"/>
        <v>0</v>
      </c>
      <c r="S157" s="39">
        <f t="shared" si="121"/>
        <v>0</v>
      </c>
      <c r="T157" s="39">
        <f t="shared" si="121"/>
        <v>0</v>
      </c>
      <c r="U157" s="39">
        <f t="shared" si="121"/>
        <v>0</v>
      </c>
      <c r="V157" s="39">
        <f t="shared" si="121"/>
        <v>0</v>
      </c>
      <c r="W157" s="39">
        <f t="shared" si="121"/>
        <v>0</v>
      </c>
      <c r="X157" s="39">
        <f t="shared" si="121"/>
        <v>0</v>
      </c>
      <c r="Y157" s="39">
        <f t="shared" si="121"/>
        <v>0</v>
      </c>
      <c r="Z157" s="39"/>
    </row>
    <row r="158" spans="1:26" ht="14.25" hidden="1" customHeight="1" x14ac:dyDescent="0.4">
      <c r="A158" s="24" t="s">
        <v>203</v>
      </c>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row>
    <row r="159" spans="1:26" ht="14.25" hidden="1" customHeight="1" x14ac:dyDescent="0.4">
      <c r="A159" s="24" t="s">
        <v>204</v>
      </c>
      <c r="B159" s="39">
        <f t="shared" ref="B159:Y159" si="122">-B157*$F$110</f>
        <v>0</v>
      </c>
      <c r="C159" s="39">
        <f t="shared" si="122"/>
        <v>0</v>
      </c>
      <c r="D159" s="39">
        <f t="shared" si="122"/>
        <v>0</v>
      </c>
      <c r="E159" s="39">
        <f t="shared" si="122"/>
        <v>0</v>
      </c>
      <c r="F159" s="39">
        <f t="shared" si="122"/>
        <v>0</v>
      </c>
      <c r="G159" s="39">
        <f t="shared" si="122"/>
        <v>0</v>
      </c>
      <c r="H159" s="39">
        <f t="shared" si="122"/>
        <v>0</v>
      </c>
      <c r="I159" s="39">
        <f t="shared" si="122"/>
        <v>0</v>
      </c>
      <c r="J159" s="39">
        <f t="shared" si="122"/>
        <v>0</v>
      </c>
      <c r="K159" s="39">
        <f t="shared" si="122"/>
        <v>0</v>
      </c>
      <c r="L159" s="39">
        <f t="shared" si="122"/>
        <v>0</v>
      </c>
      <c r="M159" s="39">
        <f t="shared" si="122"/>
        <v>0</v>
      </c>
      <c r="N159" s="39">
        <f t="shared" si="122"/>
        <v>0</v>
      </c>
      <c r="O159" s="39">
        <f t="shared" si="122"/>
        <v>0</v>
      </c>
      <c r="P159" s="39">
        <f t="shared" si="122"/>
        <v>0</v>
      </c>
      <c r="Q159" s="39">
        <f t="shared" si="122"/>
        <v>0</v>
      </c>
      <c r="R159" s="39">
        <f t="shared" si="122"/>
        <v>0</v>
      </c>
      <c r="S159" s="39">
        <f t="shared" si="122"/>
        <v>0</v>
      </c>
      <c r="T159" s="39">
        <f t="shared" si="122"/>
        <v>0</v>
      </c>
      <c r="U159" s="39">
        <f t="shared" si="122"/>
        <v>0</v>
      </c>
      <c r="V159" s="39">
        <f t="shared" si="122"/>
        <v>0</v>
      </c>
      <c r="W159" s="39">
        <f t="shared" si="122"/>
        <v>0</v>
      </c>
      <c r="X159" s="39">
        <f t="shared" si="122"/>
        <v>0</v>
      </c>
      <c r="Y159" s="39">
        <f t="shared" si="122"/>
        <v>0</v>
      </c>
      <c r="Z159" s="39">
        <f>SUM(B159:Y159)</f>
        <v>0</v>
      </c>
    </row>
    <row r="160" spans="1:26" ht="14.25" hidden="1" customHeight="1" x14ac:dyDescent="0.4">
      <c r="A160" s="24" t="s">
        <v>205</v>
      </c>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row>
    <row r="161" spans="1:26" ht="13.5" hidden="1" customHeight="1" x14ac:dyDescent="0.4">
      <c r="A161" s="24" t="s">
        <v>206</v>
      </c>
      <c r="B161" s="39">
        <f t="shared" ref="B161:Y161" si="123">B157-B160</f>
        <v>0</v>
      </c>
      <c r="C161" s="39">
        <f t="shared" si="123"/>
        <v>0</v>
      </c>
      <c r="D161" s="39">
        <f t="shared" si="123"/>
        <v>0</v>
      </c>
      <c r="E161" s="39">
        <f t="shared" si="123"/>
        <v>0</v>
      </c>
      <c r="F161" s="39">
        <f t="shared" si="123"/>
        <v>0</v>
      </c>
      <c r="G161" s="39">
        <f t="shared" si="123"/>
        <v>0</v>
      </c>
      <c r="H161" s="39">
        <f t="shared" si="123"/>
        <v>0</v>
      </c>
      <c r="I161" s="39">
        <f t="shared" si="123"/>
        <v>0</v>
      </c>
      <c r="J161" s="39">
        <f t="shared" si="123"/>
        <v>0</v>
      </c>
      <c r="K161" s="39">
        <f t="shared" si="123"/>
        <v>0</v>
      </c>
      <c r="L161" s="39">
        <f t="shared" si="123"/>
        <v>0</v>
      </c>
      <c r="M161" s="39">
        <f t="shared" si="123"/>
        <v>0</v>
      </c>
      <c r="N161" s="39">
        <f t="shared" si="123"/>
        <v>0</v>
      </c>
      <c r="O161" s="39">
        <f t="shared" si="123"/>
        <v>0</v>
      </c>
      <c r="P161" s="39">
        <f t="shared" si="123"/>
        <v>0</v>
      </c>
      <c r="Q161" s="39">
        <f t="shared" si="123"/>
        <v>0</v>
      </c>
      <c r="R161" s="39">
        <f t="shared" si="123"/>
        <v>0</v>
      </c>
      <c r="S161" s="39">
        <f t="shared" si="123"/>
        <v>0</v>
      </c>
      <c r="T161" s="39">
        <f t="shared" si="123"/>
        <v>0</v>
      </c>
      <c r="U161" s="39">
        <f t="shared" si="123"/>
        <v>0</v>
      </c>
      <c r="V161" s="39">
        <f t="shared" si="123"/>
        <v>0</v>
      </c>
      <c r="W161" s="39">
        <f t="shared" si="123"/>
        <v>0</v>
      </c>
      <c r="X161" s="39">
        <f t="shared" si="123"/>
        <v>0</v>
      </c>
      <c r="Y161" s="39">
        <f t="shared" si="123"/>
        <v>0</v>
      </c>
      <c r="Z161" s="39"/>
    </row>
    <row r="162" spans="1:26" ht="14.25" hidden="1" customHeight="1" x14ac:dyDescent="0.4">
      <c r="A162" s="148"/>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row>
    <row r="163" spans="1:26" ht="14.25" hidden="1" customHeight="1" x14ac:dyDescent="0.4"/>
    <row r="164" spans="1:26" ht="14.25" hidden="1" customHeight="1" thickBot="1" x14ac:dyDescent="0.45">
      <c r="A164" s="633" t="s">
        <v>189</v>
      </c>
      <c r="B164" s="634"/>
      <c r="C164" s="24"/>
    </row>
    <row r="165" spans="1:26" ht="14.25" hidden="1" customHeight="1" x14ac:dyDescent="0.4">
      <c r="A165" s="71" t="s">
        <v>226</v>
      </c>
      <c r="B165" s="71"/>
      <c r="C165" s="24"/>
    </row>
    <row r="166" spans="1:26" ht="14.25" hidden="1" customHeight="1" x14ac:dyDescent="0.4">
      <c r="A166" s="131" t="s">
        <v>191</v>
      </c>
      <c r="B166" s="70"/>
      <c r="C166" s="142">
        <f>'Budget First 84 months'!P20</f>
        <v>0</v>
      </c>
      <c r="E166" t="s">
        <v>192</v>
      </c>
      <c r="F166" t="s">
        <v>193</v>
      </c>
    </row>
    <row r="167" spans="1:26" ht="14.25" hidden="1" customHeight="1" x14ac:dyDescent="0.4">
      <c r="A167" s="131" t="s">
        <v>194</v>
      </c>
      <c r="B167" s="70"/>
      <c r="C167" s="143">
        <v>7</v>
      </c>
      <c r="E167" t="s">
        <v>195</v>
      </c>
      <c r="F167" s="38">
        <v>60</v>
      </c>
    </row>
    <row r="168" spans="1:26" ht="14.25" hidden="1" customHeight="1" x14ac:dyDescent="0.4">
      <c r="A168" t="s">
        <v>196</v>
      </c>
      <c r="C168" s="144">
        <v>0.09</v>
      </c>
      <c r="E168" t="s">
        <v>197</v>
      </c>
      <c r="F168" s="145">
        <f>C168/12</f>
        <v>7.4999999999999997E-3</v>
      </c>
    </row>
    <row r="169" spans="1:26" ht="14.25" hidden="1" customHeight="1" x14ac:dyDescent="0.4">
      <c r="A169" t="s">
        <v>198</v>
      </c>
      <c r="C169" s="146" t="s">
        <v>227</v>
      </c>
      <c r="E169" t="s">
        <v>200</v>
      </c>
      <c r="F169" s="147">
        <f>PMT(F168,F167,-C166,0)</f>
        <v>0</v>
      </c>
    </row>
    <row r="170" spans="1:26" ht="15" hidden="1" customHeight="1" x14ac:dyDescent="0.4"/>
    <row r="171" spans="1:26" ht="14.25" hidden="1" customHeight="1" x14ac:dyDescent="0.4">
      <c r="A171" s="71" t="s">
        <v>172</v>
      </c>
      <c r="B171" s="149">
        <v>13</v>
      </c>
      <c r="C171" s="149">
        <v>14</v>
      </c>
      <c r="D171" s="149">
        <v>15</v>
      </c>
      <c r="E171" s="149">
        <v>16</v>
      </c>
      <c r="F171" s="149">
        <v>17</v>
      </c>
      <c r="G171" s="149">
        <v>18</v>
      </c>
      <c r="H171" s="149">
        <v>19</v>
      </c>
      <c r="I171" s="149">
        <v>20</v>
      </c>
      <c r="J171" s="149">
        <v>21</v>
      </c>
      <c r="K171" s="149">
        <v>22</v>
      </c>
      <c r="L171" s="149">
        <v>23</v>
      </c>
      <c r="M171" s="149">
        <v>24</v>
      </c>
      <c r="N171" s="149">
        <v>25</v>
      </c>
      <c r="O171" s="149">
        <v>26</v>
      </c>
      <c r="P171" s="149">
        <v>27</v>
      </c>
      <c r="Q171" s="149">
        <v>28</v>
      </c>
      <c r="R171" s="149">
        <v>29</v>
      </c>
      <c r="S171" s="149">
        <v>30</v>
      </c>
      <c r="T171" s="149">
        <v>31</v>
      </c>
      <c r="U171" s="149">
        <v>32</v>
      </c>
      <c r="V171" s="149">
        <v>33</v>
      </c>
      <c r="W171" s="149">
        <v>34</v>
      </c>
      <c r="X171" s="149">
        <v>35</v>
      </c>
      <c r="Y171" s="149">
        <v>36</v>
      </c>
      <c r="Z171" s="149" t="s">
        <v>201</v>
      </c>
    </row>
    <row r="172" spans="1:26" ht="16.5" hidden="1" customHeight="1" x14ac:dyDescent="0.4">
      <c r="A172" s="24" t="s">
        <v>202</v>
      </c>
      <c r="B172" s="39">
        <f>C166</f>
        <v>0</v>
      </c>
      <c r="C172" s="39">
        <f t="shared" ref="C172:Y172" si="124">B176</f>
        <v>0</v>
      </c>
      <c r="D172" s="39">
        <f t="shared" si="124"/>
        <v>0</v>
      </c>
      <c r="E172" s="39">
        <f t="shared" si="124"/>
        <v>0</v>
      </c>
      <c r="F172" s="39">
        <f t="shared" si="124"/>
        <v>0</v>
      </c>
      <c r="G172" s="39">
        <f t="shared" si="124"/>
        <v>0</v>
      </c>
      <c r="H172" s="39">
        <f t="shared" si="124"/>
        <v>0</v>
      </c>
      <c r="I172" s="39">
        <f t="shared" si="124"/>
        <v>0</v>
      </c>
      <c r="J172" s="39">
        <f t="shared" si="124"/>
        <v>0</v>
      </c>
      <c r="K172" s="39">
        <f t="shared" si="124"/>
        <v>0</v>
      </c>
      <c r="L172" s="39">
        <f t="shared" si="124"/>
        <v>0</v>
      </c>
      <c r="M172" s="39">
        <f t="shared" si="124"/>
        <v>0</v>
      </c>
      <c r="N172" s="39">
        <f t="shared" si="124"/>
        <v>0</v>
      </c>
      <c r="O172" s="39">
        <f t="shared" si="124"/>
        <v>0</v>
      </c>
      <c r="P172" s="39">
        <f t="shared" si="124"/>
        <v>0</v>
      </c>
      <c r="Q172" s="39">
        <f t="shared" si="124"/>
        <v>0</v>
      </c>
      <c r="R172" s="39">
        <f t="shared" si="124"/>
        <v>0</v>
      </c>
      <c r="S172" s="39">
        <f t="shared" si="124"/>
        <v>0</v>
      </c>
      <c r="T172" s="39">
        <f t="shared" si="124"/>
        <v>0</v>
      </c>
      <c r="U172" s="39">
        <f t="shared" si="124"/>
        <v>0</v>
      </c>
      <c r="V172" s="39">
        <f t="shared" si="124"/>
        <v>0</v>
      </c>
      <c r="W172" s="39">
        <f t="shared" si="124"/>
        <v>0</v>
      </c>
      <c r="X172" s="39">
        <f t="shared" si="124"/>
        <v>0</v>
      </c>
      <c r="Y172" s="39">
        <f t="shared" si="124"/>
        <v>0</v>
      </c>
      <c r="Z172" s="39"/>
    </row>
    <row r="173" spans="1:26" ht="14.25" hidden="1" customHeight="1" x14ac:dyDescent="0.4">
      <c r="A173" s="24" t="s">
        <v>203</v>
      </c>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row>
    <row r="174" spans="1:26" ht="14.25" hidden="1" customHeight="1" x14ac:dyDescent="0.4">
      <c r="A174" s="24" t="s">
        <v>204</v>
      </c>
      <c r="B174" s="39">
        <f t="shared" ref="B174:Y174" si="125">-B172*$F$110</f>
        <v>0</v>
      </c>
      <c r="C174" s="39">
        <f t="shared" si="125"/>
        <v>0</v>
      </c>
      <c r="D174" s="39">
        <f t="shared" si="125"/>
        <v>0</v>
      </c>
      <c r="E174" s="39">
        <f t="shared" si="125"/>
        <v>0</v>
      </c>
      <c r="F174" s="39">
        <f t="shared" si="125"/>
        <v>0</v>
      </c>
      <c r="G174" s="39">
        <f t="shared" si="125"/>
        <v>0</v>
      </c>
      <c r="H174" s="39">
        <f t="shared" si="125"/>
        <v>0</v>
      </c>
      <c r="I174" s="39">
        <f t="shared" si="125"/>
        <v>0</v>
      </c>
      <c r="J174" s="39">
        <f t="shared" si="125"/>
        <v>0</v>
      </c>
      <c r="K174" s="39">
        <f t="shared" si="125"/>
        <v>0</v>
      </c>
      <c r="L174" s="39">
        <f t="shared" si="125"/>
        <v>0</v>
      </c>
      <c r="M174" s="39">
        <f t="shared" si="125"/>
        <v>0</v>
      </c>
      <c r="N174" s="39">
        <f t="shared" si="125"/>
        <v>0</v>
      </c>
      <c r="O174" s="39">
        <f t="shared" si="125"/>
        <v>0</v>
      </c>
      <c r="P174" s="39">
        <f t="shared" si="125"/>
        <v>0</v>
      </c>
      <c r="Q174" s="39">
        <f t="shared" si="125"/>
        <v>0</v>
      </c>
      <c r="R174" s="39">
        <f t="shared" si="125"/>
        <v>0</v>
      </c>
      <c r="S174" s="39">
        <f t="shared" si="125"/>
        <v>0</v>
      </c>
      <c r="T174" s="39">
        <f t="shared" si="125"/>
        <v>0</v>
      </c>
      <c r="U174" s="39">
        <f t="shared" si="125"/>
        <v>0</v>
      </c>
      <c r="V174" s="39">
        <f t="shared" si="125"/>
        <v>0</v>
      </c>
      <c r="W174" s="39">
        <f t="shared" si="125"/>
        <v>0</v>
      </c>
      <c r="X174" s="39">
        <f t="shared" si="125"/>
        <v>0</v>
      </c>
      <c r="Y174" s="39">
        <f t="shared" si="125"/>
        <v>0</v>
      </c>
      <c r="Z174" s="39">
        <f>SUM(B174:Y174)</f>
        <v>0</v>
      </c>
    </row>
    <row r="175" spans="1:26" ht="14.25" hidden="1" customHeight="1" x14ac:dyDescent="0.4">
      <c r="A175" s="24" t="s">
        <v>205</v>
      </c>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row>
    <row r="176" spans="1:26" ht="13.5" hidden="1" customHeight="1" x14ac:dyDescent="0.4">
      <c r="A176" s="24" t="s">
        <v>206</v>
      </c>
      <c r="B176" s="39">
        <f t="shared" ref="B176:Y176" si="126">B172-B175</f>
        <v>0</v>
      </c>
      <c r="C176" s="39">
        <f t="shared" si="126"/>
        <v>0</v>
      </c>
      <c r="D176" s="39">
        <f t="shared" si="126"/>
        <v>0</v>
      </c>
      <c r="E176" s="39">
        <f t="shared" si="126"/>
        <v>0</v>
      </c>
      <c r="F176" s="39">
        <f t="shared" si="126"/>
        <v>0</v>
      </c>
      <c r="G176" s="39">
        <f t="shared" si="126"/>
        <v>0</v>
      </c>
      <c r="H176" s="39">
        <f t="shared" si="126"/>
        <v>0</v>
      </c>
      <c r="I176" s="39">
        <f t="shared" si="126"/>
        <v>0</v>
      </c>
      <c r="J176" s="39">
        <f t="shared" si="126"/>
        <v>0</v>
      </c>
      <c r="K176" s="39">
        <f t="shared" si="126"/>
        <v>0</v>
      </c>
      <c r="L176" s="39">
        <f t="shared" si="126"/>
        <v>0</v>
      </c>
      <c r="M176" s="39">
        <f t="shared" si="126"/>
        <v>0</v>
      </c>
      <c r="N176" s="39">
        <f t="shared" si="126"/>
        <v>0</v>
      </c>
      <c r="O176" s="39">
        <f t="shared" si="126"/>
        <v>0</v>
      </c>
      <c r="P176" s="39">
        <f t="shared" si="126"/>
        <v>0</v>
      </c>
      <c r="Q176" s="39">
        <f t="shared" si="126"/>
        <v>0</v>
      </c>
      <c r="R176" s="39">
        <f t="shared" si="126"/>
        <v>0</v>
      </c>
      <c r="S176" s="39">
        <f t="shared" si="126"/>
        <v>0</v>
      </c>
      <c r="T176" s="39">
        <f t="shared" si="126"/>
        <v>0</v>
      </c>
      <c r="U176" s="39">
        <f t="shared" si="126"/>
        <v>0</v>
      </c>
      <c r="V176" s="39">
        <f t="shared" si="126"/>
        <v>0</v>
      </c>
      <c r="W176" s="39">
        <f t="shared" si="126"/>
        <v>0</v>
      </c>
      <c r="X176" s="39">
        <f t="shared" si="126"/>
        <v>0</v>
      </c>
      <c r="Y176" s="39">
        <f t="shared" si="126"/>
        <v>0</v>
      </c>
      <c r="Z176" s="39"/>
    </row>
    <row r="177" spans="1:26" ht="14.25" hidden="1" customHeight="1" x14ac:dyDescent="0.4">
      <c r="A177" s="148"/>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row>
    <row r="178" spans="1:26" ht="14.25" hidden="1" customHeight="1" x14ac:dyDescent="0.4"/>
    <row r="179" spans="1:26" ht="14.25" hidden="1" customHeight="1" thickBot="1" x14ac:dyDescent="0.45">
      <c r="A179" s="633" t="s">
        <v>189</v>
      </c>
      <c r="B179" s="634"/>
      <c r="C179" s="24"/>
    </row>
    <row r="180" spans="1:26" ht="14.25" hidden="1" customHeight="1" x14ac:dyDescent="0.4">
      <c r="A180" s="71" t="s">
        <v>228</v>
      </c>
      <c r="B180" s="71"/>
      <c r="C180" s="24"/>
    </row>
    <row r="181" spans="1:26" ht="14.25" hidden="1" customHeight="1" x14ac:dyDescent="0.4">
      <c r="A181" s="131" t="s">
        <v>191</v>
      </c>
      <c r="B181" s="70"/>
      <c r="C181" s="142">
        <f>'Budget First 84 months'!R20</f>
        <v>0</v>
      </c>
      <c r="E181" t="s">
        <v>192</v>
      </c>
      <c r="F181" t="s">
        <v>193</v>
      </c>
    </row>
    <row r="182" spans="1:26" ht="14.25" hidden="1" customHeight="1" x14ac:dyDescent="0.4">
      <c r="A182" s="131" t="s">
        <v>194</v>
      </c>
      <c r="B182" s="70"/>
      <c r="C182" s="143">
        <v>7</v>
      </c>
      <c r="E182" t="s">
        <v>195</v>
      </c>
      <c r="F182" s="38">
        <v>60</v>
      </c>
    </row>
    <row r="183" spans="1:26" ht="14.25" hidden="1" customHeight="1" x14ac:dyDescent="0.4">
      <c r="A183" t="s">
        <v>196</v>
      </c>
      <c r="C183" s="144">
        <v>0.09</v>
      </c>
      <c r="E183" t="s">
        <v>197</v>
      </c>
      <c r="F183" s="145">
        <v>0.01</v>
      </c>
    </row>
    <row r="184" spans="1:26" ht="14.25" hidden="1" customHeight="1" x14ac:dyDescent="0.4">
      <c r="A184" t="s">
        <v>198</v>
      </c>
      <c r="C184" s="146" t="s">
        <v>229</v>
      </c>
      <c r="E184" t="s">
        <v>200</v>
      </c>
      <c r="F184" s="147">
        <f>PMT(F183,F182,-C181,0)</f>
        <v>0</v>
      </c>
    </row>
    <row r="185" spans="1:26" ht="15" hidden="1" customHeight="1" x14ac:dyDescent="0.4"/>
    <row r="186" spans="1:26" ht="14.25" hidden="1" customHeight="1" x14ac:dyDescent="0.4">
      <c r="A186" s="71" t="s">
        <v>172</v>
      </c>
      <c r="B186" s="71">
        <v>14</v>
      </c>
      <c r="C186" s="71">
        <v>15</v>
      </c>
      <c r="D186" s="71">
        <v>16</v>
      </c>
      <c r="E186" s="71">
        <v>17</v>
      </c>
      <c r="F186" s="71">
        <v>18</v>
      </c>
      <c r="G186" s="71">
        <v>19</v>
      </c>
      <c r="H186" s="71">
        <v>20</v>
      </c>
      <c r="I186" s="71">
        <v>21</v>
      </c>
      <c r="J186" s="71">
        <v>22</v>
      </c>
      <c r="K186" s="71">
        <v>23</v>
      </c>
      <c r="L186" s="71">
        <v>24</v>
      </c>
      <c r="M186" s="71">
        <v>25</v>
      </c>
      <c r="N186" s="71">
        <v>26</v>
      </c>
      <c r="O186" s="71">
        <v>27</v>
      </c>
      <c r="P186" s="71">
        <v>28</v>
      </c>
      <c r="Q186" s="71">
        <v>29</v>
      </c>
      <c r="R186" s="71">
        <v>30</v>
      </c>
      <c r="S186" s="71">
        <v>31</v>
      </c>
      <c r="T186" s="71">
        <v>32</v>
      </c>
      <c r="U186" s="71">
        <v>33</v>
      </c>
      <c r="V186" s="71">
        <v>34</v>
      </c>
      <c r="W186" s="71">
        <v>35</v>
      </c>
      <c r="X186" s="71">
        <v>36</v>
      </c>
      <c r="Y186" s="71">
        <v>37</v>
      </c>
      <c r="Z186" s="71"/>
    </row>
    <row r="187" spans="1:26" ht="16.5" hidden="1" customHeight="1" x14ac:dyDescent="0.4">
      <c r="A187" s="24" t="s">
        <v>202</v>
      </c>
      <c r="B187" s="39">
        <f>C181</f>
        <v>0</v>
      </c>
      <c r="C187" s="39">
        <f t="shared" ref="C187:Y187" si="127">B191</f>
        <v>0</v>
      </c>
      <c r="D187" s="39">
        <f t="shared" si="127"/>
        <v>0</v>
      </c>
      <c r="E187" s="39">
        <f t="shared" si="127"/>
        <v>0</v>
      </c>
      <c r="F187" s="39">
        <f t="shared" si="127"/>
        <v>0</v>
      </c>
      <c r="G187" s="39">
        <f t="shared" si="127"/>
        <v>0</v>
      </c>
      <c r="H187" s="39">
        <f t="shared" si="127"/>
        <v>0</v>
      </c>
      <c r="I187" s="39">
        <f t="shared" si="127"/>
        <v>0</v>
      </c>
      <c r="J187" s="39">
        <f t="shared" si="127"/>
        <v>0</v>
      </c>
      <c r="K187" s="39">
        <f t="shared" si="127"/>
        <v>0</v>
      </c>
      <c r="L187" s="39">
        <f t="shared" si="127"/>
        <v>0</v>
      </c>
      <c r="M187" s="39">
        <f t="shared" si="127"/>
        <v>0</v>
      </c>
      <c r="N187" s="39">
        <f t="shared" si="127"/>
        <v>0</v>
      </c>
      <c r="O187" s="39">
        <f t="shared" si="127"/>
        <v>0</v>
      </c>
      <c r="P187" s="39">
        <f t="shared" si="127"/>
        <v>0</v>
      </c>
      <c r="Q187" s="39">
        <f t="shared" si="127"/>
        <v>0</v>
      </c>
      <c r="R187" s="39">
        <f t="shared" si="127"/>
        <v>0</v>
      </c>
      <c r="S187" s="39">
        <f t="shared" si="127"/>
        <v>0</v>
      </c>
      <c r="T187" s="39">
        <f t="shared" si="127"/>
        <v>0</v>
      </c>
      <c r="U187" s="39">
        <f t="shared" si="127"/>
        <v>0</v>
      </c>
      <c r="V187" s="39">
        <f t="shared" si="127"/>
        <v>0</v>
      </c>
      <c r="W187" s="39">
        <f t="shared" si="127"/>
        <v>0</v>
      </c>
      <c r="X187" s="39">
        <f t="shared" si="127"/>
        <v>0</v>
      </c>
      <c r="Y187" s="39">
        <f t="shared" si="127"/>
        <v>0</v>
      </c>
      <c r="Z187" s="39"/>
    </row>
    <row r="188" spans="1:26" ht="14.25" hidden="1" customHeight="1" x14ac:dyDescent="0.4">
      <c r="A188" s="24" t="s">
        <v>203</v>
      </c>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row>
    <row r="189" spans="1:26" ht="14.25" hidden="1" customHeight="1" x14ac:dyDescent="0.4">
      <c r="A189" s="24" t="s">
        <v>204</v>
      </c>
      <c r="B189" s="39">
        <f t="shared" ref="B189:Y189" si="128">-B187*$F$110</f>
        <v>0</v>
      </c>
      <c r="C189" s="39">
        <f t="shared" si="128"/>
        <v>0</v>
      </c>
      <c r="D189" s="39">
        <f t="shared" si="128"/>
        <v>0</v>
      </c>
      <c r="E189" s="39">
        <f t="shared" si="128"/>
        <v>0</v>
      </c>
      <c r="F189" s="39">
        <f t="shared" si="128"/>
        <v>0</v>
      </c>
      <c r="G189" s="39">
        <f t="shared" si="128"/>
        <v>0</v>
      </c>
      <c r="H189" s="39">
        <f t="shared" si="128"/>
        <v>0</v>
      </c>
      <c r="I189" s="39">
        <f t="shared" si="128"/>
        <v>0</v>
      </c>
      <c r="J189" s="39">
        <f t="shared" si="128"/>
        <v>0</v>
      </c>
      <c r="K189" s="39">
        <f t="shared" si="128"/>
        <v>0</v>
      </c>
      <c r="L189" s="39">
        <f t="shared" si="128"/>
        <v>0</v>
      </c>
      <c r="M189" s="39">
        <f t="shared" si="128"/>
        <v>0</v>
      </c>
      <c r="N189" s="39">
        <f t="shared" si="128"/>
        <v>0</v>
      </c>
      <c r="O189" s="39">
        <f t="shared" si="128"/>
        <v>0</v>
      </c>
      <c r="P189" s="39">
        <f t="shared" si="128"/>
        <v>0</v>
      </c>
      <c r="Q189" s="39">
        <f t="shared" si="128"/>
        <v>0</v>
      </c>
      <c r="R189" s="39">
        <f t="shared" si="128"/>
        <v>0</v>
      </c>
      <c r="S189" s="39">
        <f t="shared" si="128"/>
        <v>0</v>
      </c>
      <c r="T189" s="39">
        <f t="shared" si="128"/>
        <v>0</v>
      </c>
      <c r="U189" s="39">
        <f t="shared" si="128"/>
        <v>0</v>
      </c>
      <c r="V189" s="39">
        <f t="shared" si="128"/>
        <v>0</v>
      </c>
      <c r="W189" s="39">
        <f t="shared" si="128"/>
        <v>0</v>
      </c>
      <c r="X189" s="39">
        <f t="shared" si="128"/>
        <v>0</v>
      </c>
      <c r="Y189" s="39">
        <f t="shared" si="128"/>
        <v>0</v>
      </c>
      <c r="Z189" s="39">
        <f>SUM(B189:Y189)</f>
        <v>0</v>
      </c>
    </row>
    <row r="190" spans="1:26" ht="14.25" hidden="1" customHeight="1" x14ac:dyDescent="0.4">
      <c r="A190" s="24" t="s">
        <v>205</v>
      </c>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row>
    <row r="191" spans="1:26" ht="13.5" hidden="1" customHeight="1" x14ac:dyDescent="0.4">
      <c r="A191" s="24" t="s">
        <v>206</v>
      </c>
      <c r="B191" s="39">
        <f t="shared" ref="B191:Y191" si="129">B187-B190</f>
        <v>0</v>
      </c>
      <c r="C191" s="39">
        <f t="shared" si="129"/>
        <v>0</v>
      </c>
      <c r="D191" s="39">
        <f t="shared" si="129"/>
        <v>0</v>
      </c>
      <c r="E191" s="39">
        <f t="shared" si="129"/>
        <v>0</v>
      </c>
      <c r="F191" s="39">
        <f t="shared" si="129"/>
        <v>0</v>
      </c>
      <c r="G191" s="39">
        <f t="shared" si="129"/>
        <v>0</v>
      </c>
      <c r="H191" s="39">
        <f t="shared" si="129"/>
        <v>0</v>
      </c>
      <c r="I191" s="39">
        <f t="shared" si="129"/>
        <v>0</v>
      </c>
      <c r="J191" s="39">
        <f t="shared" si="129"/>
        <v>0</v>
      </c>
      <c r="K191" s="39">
        <f t="shared" si="129"/>
        <v>0</v>
      </c>
      <c r="L191" s="39">
        <f t="shared" si="129"/>
        <v>0</v>
      </c>
      <c r="M191" s="39">
        <f t="shared" si="129"/>
        <v>0</v>
      </c>
      <c r="N191" s="39">
        <f t="shared" si="129"/>
        <v>0</v>
      </c>
      <c r="O191" s="39">
        <f t="shared" si="129"/>
        <v>0</v>
      </c>
      <c r="P191" s="39">
        <f t="shared" si="129"/>
        <v>0</v>
      </c>
      <c r="Q191" s="39">
        <f t="shared" si="129"/>
        <v>0</v>
      </c>
      <c r="R191" s="39">
        <f t="shared" si="129"/>
        <v>0</v>
      </c>
      <c r="S191" s="39">
        <f t="shared" si="129"/>
        <v>0</v>
      </c>
      <c r="T191" s="39">
        <f t="shared" si="129"/>
        <v>0</v>
      </c>
      <c r="U191" s="39">
        <f t="shared" si="129"/>
        <v>0</v>
      </c>
      <c r="V191" s="39">
        <f t="shared" si="129"/>
        <v>0</v>
      </c>
      <c r="W191" s="39">
        <f t="shared" si="129"/>
        <v>0</v>
      </c>
      <c r="X191" s="39">
        <f t="shared" si="129"/>
        <v>0</v>
      </c>
      <c r="Y191" s="39">
        <f t="shared" si="129"/>
        <v>0</v>
      </c>
      <c r="Z191" s="39"/>
    </row>
    <row r="192" spans="1:26" ht="14.25" hidden="1" customHeight="1" x14ac:dyDescent="0.4">
      <c r="A192" s="148"/>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row>
    <row r="193" spans="1:26" ht="14.25" hidden="1" customHeight="1" x14ac:dyDescent="0.4"/>
    <row r="194" spans="1:26" ht="14.25" hidden="1" customHeight="1" thickBot="1" x14ac:dyDescent="0.45">
      <c r="A194" s="633" t="s">
        <v>189</v>
      </c>
      <c r="B194" s="634"/>
      <c r="C194" s="24"/>
    </row>
    <row r="195" spans="1:26" ht="14.25" hidden="1" customHeight="1" x14ac:dyDescent="0.4">
      <c r="A195" s="71" t="s">
        <v>230</v>
      </c>
      <c r="B195" s="71"/>
      <c r="C195" s="24"/>
    </row>
    <row r="196" spans="1:26" ht="14.25" hidden="1" customHeight="1" x14ac:dyDescent="0.4">
      <c r="A196" s="131" t="s">
        <v>191</v>
      </c>
      <c r="B196" s="70"/>
      <c r="C196" s="142">
        <f>'Budget First 84 months'!S20</f>
        <v>0</v>
      </c>
      <c r="E196" t="s">
        <v>192</v>
      </c>
      <c r="F196" t="s">
        <v>193</v>
      </c>
    </row>
    <row r="197" spans="1:26" ht="14.25" hidden="1" customHeight="1" x14ac:dyDescent="0.4">
      <c r="A197" s="131" t="s">
        <v>194</v>
      </c>
      <c r="B197" s="70"/>
      <c r="C197" s="143">
        <v>7</v>
      </c>
      <c r="E197" t="s">
        <v>195</v>
      </c>
      <c r="F197" s="38">
        <v>60</v>
      </c>
    </row>
    <row r="198" spans="1:26" ht="14.25" hidden="1" customHeight="1" x14ac:dyDescent="0.4">
      <c r="A198" t="s">
        <v>196</v>
      </c>
      <c r="C198" s="144">
        <v>0.09</v>
      </c>
      <c r="E198" t="s">
        <v>197</v>
      </c>
      <c r="F198" s="145">
        <f>C198/12</f>
        <v>7.4999999999999997E-3</v>
      </c>
    </row>
    <row r="199" spans="1:26" ht="14.25" hidden="1" customHeight="1" x14ac:dyDescent="0.4">
      <c r="A199" t="s">
        <v>198</v>
      </c>
      <c r="C199" s="146" t="s">
        <v>231</v>
      </c>
      <c r="E199" t="s">
        <v>200</v>
      </c>
      <c r="F199" s="147">
        <f>PMT(F198,F197,-C196,0)</f>
        <v>0</v>
      </c>
    </row>
    <row r="200" spans="1:26" ht="15" hidden="1" customHeight="1" x14ac:dyDescent="0.4"/>
    <row r="201" spans="1:26" ht="14.25" hidden="1" customHeight="1" x14ac:dyDescent="0.4">
      <c r="A201" s="71" t="s">
        <v>172</v>
      </c>
      <c r="B201" s="149">
        <v>15</v>
      </c>
      <c r="C201" s="149">
        <v>16</v>
      </c>
      <c r="D201" s="149">
        <v>17</v>
      </c>
      <c r="E201" s="149">
        <v>18</v>
      </c>
      <c r="F201" s="149">
        <v>19</v>
      </c>
      <c r="G201" s="149">
        <v>20</v>
      </c>
      <c r="H201" s="149">
        <v>21</v>
      </c>
      <c r="I201" s="149">
        <v>22</v>
      </c>
      <c r="J201" s="149">
        <v>23</v>
      </c>
      <c r="K201" s="149">
        <v>24</v>
      </c>
      <c r="L201" s="149">
        <v>25</v>
      </c>
      <c r="M201" s="149">
        <v>26</v>
      </c>
      <c r="N201" s="149">
        <v>27</v>
      </c>
      <c r="O201" s="149">
        <v>28</v>
      </c>
      <c r="P201" s="149">
        <v>29</v>
      </c>
      <c r="Q201" s="149">
        <v>30</v>
      </c>
      <c r="R201" s="149">
        <v>31</v>
      </c>
      <c r="S201" s="149">
        <v>32</v>
      </c>
      <c r="T201" s="149">
        <v>33</v>
      </c>
      <c r="U201" s="149">
        <v>34</v>
      </c>
      <c r="V201" s="149">
        <v>35</v>
      </c>
      <c r="W201" s="149">
        <v>36</v>
      </c>
      <c r="X201" s="149">
        <v>37</v>
      </c>
      <c r="Y201" s="149">
        <v>38</v>
      </c>
      <c r="Z201" s="149" t="s">
        <v>201</v>
      </c>
    </row>
    <row r="202" spans="1:26" ht="16.5" hidden="1" customHeight="1" x14ac:dyDescent="0.4">
      <c r="A202" s="24" t="s">
        <v>202</v>
      </c>
      <c r="B202" s="39">
        <f>C196</f>
        <v>0</v>
      </c>
      <c r="C202" s="39">
        <f t="shared" ref="C202:Y202" si="130">B206</f>
        <v>0</v>
      </c>
      <c r="D202" s="39">
        <f t="shared" si="130"/>
        <v>0</v>
      </c>
      <c r="E202" s="39">
        <f t="shared" si="130"/>
        <v>0</v>
      </c>
      <c r="F202" s="39">
        <f t="shared" si="130"/>
        <v>0</v>
      </c>
      <c r="G202" s="39">
        <f t="shared" si="130"/>
        <v>0</v>
      </c>
      <c r="H202" s="39">
        <f t="shared" si="130"/>
        <v>0</v>
      </c>
      <c r="I202" s="39">
        <f t="shared" si="130"/>
        <v>0</v>
      </c>
      <c r="J202" s="39">
        <f t="shared" si="130"/>
        <v>0</v>
      </c>
      <c r="K202" s="39">
        <f t="shared" si="130"/>
        <v>0</v>
      </c>
      <c r="L202" s="39">
        <f t="shared" si="130"/>
        <v>0</v>
      </c>
      <c r="M202" s="39">
        <f t="shared" si="130"/>
        <v>0</v>
      </c>
      <c r="N202" s="39">
        <f t="shared" si="130"/>
        <v>0</v>
      </c>
      <c r="O202" s="39">
        <f t="shared" si="130"/>
        <v>0</v>
      </c>
      <c r="P202" s="39">
        <f t="shared" si="130"/>
        <v>0</v>
      </c>
      <c r="Q202" s="39">
        <f t="shared" si="130"/>
        <v>0</v>
      </c>
      <c r="R202" s="39">
        <f t="shared" si="130"/>
        <v>0</v>
      </c>
      <c r="S202" s="39">
        <f t="shared" si="130"/>
        <v>0</v>
      </c>
      <c r="T202" s="39">
        <f t="shared" si="130"/>
        <v>0</v>
      </c>
      <c r="U202" s="39">
        <f t="shared" si="130"/>
        <v>0</v>
      </c>
      <c r="V202" s="39">
        <f t="shared" si="130"/>
        <v>0</v>
      </c>
      <c r="W202" s="39">
        <f t="shared" si="130"/>
        <v>0</v>
      </c>
      <c r="X202" s="39">
        <f t="shared" si="130"/>
        <v>0</v>
      </c>
      <c r="Y202" s="39">
        <f t="shared" si="130"/>
        <v>0</v>
      </c>
      <c r="Z202" s="39"/>
    </row>
    <row r="203" spans="1:26" ht="14.25" hidden="1" customHeight="1" x14ac:dyDescent="0.4">
      <c r="A203" s="24" t="s">
        <v>203</v>
      </c>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row>
    <row r="204" spans="1:26" ht="14.25" hidden="1" customHeight="1" x14ac:dyDescent="0.4">
      <c r="A204" s="24" t="s">
        <v>204</v>
      </c>
      <c r="B204" s="39">
        <f t="shared" ref="B204:Y204" si="131">-B202*$F$110</f>
        <v>0</v>
      </c>
      <c r="C204" s="39">
        <f t="shared" si="131"/>
        <v>0</v>
      </c>
      <c r="D204" s="39">
        <f t="shared" si="131"/>
        <v>0</v>
      </c>
      <c r="E204" s="39">
        <f t="shared" si="131"/>
        <v>0</v>
      </c>
      <c r="F204" s="39">
        <f t="shared" si="131"/>
        <v>0</v>
      </c>
      <c r="G204" s="39">
        <f t="shared" si="131"/>
        <v>0</v>
      </c>
      <c r="H204" s="39">
        <f t="shared" si="131"/>
        <v>0</v>
      </c>
      <c r="I204" s="39">
        <f t="shared" si="131"/>
        <v>0</v>
      </c>
      <c r="J204" s="39">
        <f t="shared" si="131"/>
        <v>0</v>
      </c>
      <c r="K204" s="39">
        <f t="shared" si="131"/>
        <v>0</v>
      </c>
      <c r="L204" s="39">
        <f t="shared" si="131"/>
        <v>0</v>
      </c>
      <c r="M204" s="39">
        <f t="shared" si="131"/>
        <v>0</v>
      </c>
      <c r="N204" s="39">
        <f t="shared" si="131"/>
        <v>0</v>
      </c>
      <c r="O204" s="39">
        <f t="shared" si="131"/>
        <v>0</v>
      </c>
      <c r="P204" s="39">
        <f t="shared" si="131"/>
        <v>0</v>
      </c>
      <c r="Q204" s="39">
        <f t="shared" si="131"/>
        <v>0</v>
      </c>
      <c r="R204" s="39">
        <f t="shared" si="131"/>
        <v>0</v>
      </c>
      <c r="S204" s="39">
        <f t="shared" si="131"/>
        <v>0</v>
      </c>
      <c r="T204" s="39">
        <f t="shared" si="131"/>
        <v>0</v>
      </c>
      <c r="U204" s="39">
        <f t="shared" si="131"/>
        <v>0</v>
      </c>
      <c r="V204" s="39">
        <f t="shared" si="131"/>
        <v>0</v>
      </c>
      <c r="W204" s="39">
        <f t="shared" si="131"/>
        <v>0</v>
      </c>
      <c r="X204" s="39">
        <f t="shared" si="131"/>
        <v>0</v>
      </c>
      <c r="Y204" s="39">
        <f t="shared" si="131"/>
        <v>0</v>
      </c>
      <c r="Z204" s="39">
        <f>SUM(B204:Y204)</f>
        <v>0</v>
      </c>
    </row>
    <row r="205" spans="1:26" ht="14.25" hidden="1" customHeight="1" x14ac:dyDescent="0.4">
      <c r="A205" s="24" t="s">
        <v>205</v>
      </c>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row>
    <row r="206" spans="1:26" ht="13.5" hidden="1" customHeight="1" x14ac:dyDescent="0.4">
      <c r="A206" s="24" t="s">
        <v>206</v>
      </c>
      <c r="B206" s="39">
        <f t="shared" ref="B206:Y206" si="132">B202-B205</f>
        <v>0</v>
      </c>
      <c r="C206" s="39">
        <f t="shared" si="132"/>
        <v>0</v>
      </c>
      <c r="D206" s="39">
        <f t="shared" si="132"/>
        <v>0</v>
      </c>
      <c r="E206" s="39">
        <f t="shared" si="132"/>
        <v>0</v>
      </c>
      <c r="F206" s="39">
        <f t="shared" si="132"/>
        <v>0</v>
      </c>
      <c r="G206" s="39">
        <f t="shared" si="132"/>
        <v>0</v>
      </c>
      <c r="H206" s="39">
        <f t="shared" si="132"/>
        <v>0</v>
      </c>
      <c r="I206" s="39">
        <f t="shared" si="132"/>
        <v>0</v>
      </c>
      <c r="J206" s="39">
        <f t="shared" si="132"/>
        <v>0</v>
      </c>
      <c r="K206" s="39">
        <f t="shared" si="132"/>
        <v>0</v>
      </c>
      <c r="L206" s="39">
        <f t="shared" si="132"/>
        <v>0</v>
      </c>
      <c r="M206" s="39">
        <f t="shared" si="132"/>
        <v>0</v>
      </c>
      <c r="N206" s="39">
        <f t="shared" si="132"/>
        <v>0</v>
      </c>
      <c r="O206" s="39">
        <f t="shared" si="132"/>
        <v>0</v>
      </c>
      <c r="P206" s="39">
        <f t="shared" si="132"/>
        <v>0</v>
      </c>
      <c r="Q206" s="39">
        <f t="shared" si="132"/>
        <v>0</v>
      </c>
      <c r="R206" s="39">
        <f t="shared" si="132"/>
        <v>0</v>
      </c>
      <c r="S206" s="39">
        <f t="shared" si="132"/>
        <v>0</v>
      </c>
      <c r="T206" s="39">
        <f t="shared" si="132"/>
        <v>0</v>
      </c>
      <c r="U206" s="39">
        <f t="shared" si="132"/>
        <v>0</v>
      </c>
      <c r="V206" s="39">
        <f t="shared" si="132"/>
        <v>0</v>
      </c>
      <c r="W206" s="39">
        <f t="shared" si="132"/>
        <v>0</v>
      </c>
      <c r="X206" s="39">
        <f t="shared" si="132"/>
        <v>0</v>
      </c>
      <c r="Y206" s="39">
        <f t="shared" si="132"/>
        <v>0</v>
      </c>
      <c r="Z206" s="39"/>
    </row>
    <row r="207" spans="1:26" ht="14.25" hidden="1" customHeight="1" x14ac:dyDescent="0.4">
      <c r="A207" s="148"/>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row>
    <row r="208" spans="1:26" ht="14.25" hidden="1" customHeight="1" x14ac:dyDescent="0.4"/>
    <row r="209" spans="1:26" ht="14.25" hidden="1" customHeight="1" thickBot="1" x14ac:dyDescent="0.45">
      <c r="A209" s="633" t="s">
        <v>189</v>
      </c>
      <c r="B209" s="634"/>
      <c r="C209" s="24"/>
    </row>
    <row r="210" spans="1:26" ht="14.25" hidden="1" customHeight="1" x14ac:dyDescent="0.4">
      <c r="A210" s="71" t="s">
        <v>232</v>
      </c>
      <c r="B210" s="71"/>
      <c r="C210" s="24"/>
    </row>
    <row r="211" spans="1:26" ht="14.25" hidden="1" customHeight="1" x14ac:dyDescent="0.4">
      <c r="A211" s="131" t="s">
        <v>191</v>
      </c>
      <c r="B211" s="70"/>
      <c r="C211" s="142">
        <f>'Budget First 84 months'!T20</f>
        <v>0</v>
      </c>
      <c r="E211" t="s">
        <v>192</v>
      </c>
      <c r="F211" t="s">
        <v>193</v>
      </c>
    </row>
    <row r="212" spans="1:26" ht="14.25" hidden="1" customHeight="1" x14ac:dyDescent="0.4">
      <c r="A212" s="131" t="s">
        <v>194</v>
      </c>
      <c r="B212" s="70"/>
      <c r="C212" s="143">
        <v>7</v>
      </c>
      <c r="E212" t="s">
        <v>195</v>
      </c>
      <c r="F212" s="38">
        <v>60</v>
      </c>
    </row>
    <row r="213" spans="1:26" ht="14.25" hidden="1" customHeight="1" x14ac:dyDescent="0.4">
      <c r="A213" t="s">
        <v>196</v>
      </c>
      <c r="C213" s="144">
        <v>0.09</v>
      </c>
      <c r="E213" t="s">
        <v>197</v>
      </c>
      <c r="F213" s="145">
        <f>C213/12</f>
        <v>7.4999999999999997E-3</v>
      </c>
    </row>
    <row r="214" spans="1:26" ht="14.25" hidden="1" customHeight="1" x14ac:dyDescent="0.4">
      <c r="A214" t="s">
        <v>198</v>
      </c>
      <c r="C214" s="146" t="s">
        <v>233</v>
      </c>
      <c r="E214" t="s">
        <v>200</v>
      </c>
      <c r="F214" s="147">
        <f>PMT(F213,F212,-C211,0)</f>
        <v>0</v>
      </c>
    </row>
    <row r="215" spans="1:26" ht="15" hidden="1" customHeight="1" x14ac:dyDescent="0.4"/>
    <row r="216" spans="1:26" ht="14.25" hidden="1" customHeight="1" x14ac:dyDescent="0.4">
      <c r="A216" s="71" t="s">
        <v>172</v>
      </c>
      <c r="B216" s="71">
        <v>16</v>
      </c>
      <c r="C216" s="71">
        <v>17</v>
      </c>
      <c r="D216" s="71">
        <v>18</v>
      </c>
      <c r="E216" s="71">
        <v>19</v>
      </c>
      <c r="F216" s="71">
        <v>20</v>
      </c>
      <c r="G216" s="71">
        <v>21</v>
      </c>
      <c r="H216" s="71">
        <v>22</v>
      </c>
      <c r="I216" s="71">
        <v>23</v>
      </c>
      <c r="J216" s="71">
        <v>24</v>
      </c>
      <c r="K216" s="71">
        <v>25</v>
      </c>
      <c r="L216" s="71">
        <v>26</v>
      </c>
      <c r="M216" s="71">
        <v>27</v>
      </c>
      <c r="N216" s="71">
        <v>28</v>
      </c>
      <c r="O216" s="71">
        <v>29</v>
      </c>
      <c r="P216" s="71">
        <v>30</v>
      </c>
      <c r="Q216" s="71">
        <v>31</v>
      </c>
      <c r="R216" s="71">
        <v>32</v>
      </c>
      <c r="S216" s="71">
        <v>33</v>
      </c>
      <c r="T216" s="71">
        <v>34</v>
      </c>
      <c r="U216" s="71">
        <v>35</v>
      </c>
      <c r="V216" s="71">
        <v>36</v>
      </c>
      <c r="W216" s="71">
        <v>37</v>
      </c>
      <c r="X216" s="71">
        <v>38</v>
      </c>
      <c r="Y216" s="71">
        <v>39</v>
      </c>
      <c r="Z216" s="71"/>
    </row>
    <row r="217" spans="1:26" ht="16.5" hidden="1" customHeight="1" x14ac:dyDescent="0.4">
      <c r="A217" s="24" t="s">
        <v>202</v>
      </c>
      <c r="B217" s="39">
        <f>C211</f>
        <v>0</v>
      </c>
      <c r="C217" s="39">
        <f t="shared" ref="C217:Y217" si="133">B221</f>
        <v>0</v>
      </c>
      <c r="D217" s="39">
        <f t="shared" si="133"/>
        <v>0</v>
      </c>
      <c r="E217" s="39">
        <f t="shared" si="133"/>
        <v>0</v>
      </c>
      <c r="F217" s="39">
        <f t="shared" si="133"/>
        <v>0</v>
      </c>
      <c r="G217" s="39">
        <f t="shared" si="133"/>
        <v>0</v>
      </c>
      <c r="H217" s="39">
        <f t="shared" si="133"/>
        <v>0</v>
      </c>
      <c r="I217" s="39">
        <f t="shared" si="133"/>
        <v>0</v>
      </c>
      <c r="J217" s="39">
        <f t="shared" si="133"/>
        <v>0</v>
      </c>
      <c r="K217" s="39">
        <f t="shared" si="133"/>
        <v>0</v>
      </c>
      <c r="L217" s="39">
        <f t="shared" si="133"/>
        <v>0</v>
      </c>
      <c r="M217" s="39">
        <f t="shared" si="133"/>
        <v>0</v>
      </c>
      <c r="N217" s="39">
        <f t="shared" si="133"/>
        <v>0</v>
      </c>
      <c r="O217" s="39">
        <f t="shared" si="133"/>
        <v>0</v>
      </c>
      <c r="P217" s="39">
        <f t="shared" si="133"/>
        <v>0</v>
      </c>
      <c r="Q217" s="39">
        <f t="shared" si="133"/>
        <v>0</v>
      </c>
      <c r="R217" s="39">
        <f t="shared" si="133"/>
        <v>0</v>
      </c>
      <c r="S217" s="39">
        <f t="shared" si="133"/>
        <v>0</v>
      </c>
      <c r="T217" s="39">
        <f t="shared" si="133"/>
        <v>0</v>
      </c>
      <c r="U217" s="39">
        <f t="shared" si="133"/>
        <v>0</v>
      </c>
      <c r="V217" s="39">
        <f t="shared" si="133"/>
        <v>0</v>
      </c>
      <c r="W217" s="39">
        <f t="shared" si="133"/>
        <v>0</v>
      </c>
      <c r="X217" s="39">
        <f t="shared" si="133"/>
        <v>0</v>
      </c>
      <c r="Y217" s="39">
        <f t="shared" si="133"/>
        <v>0</v>
      </c>
      <c r="Z217" s="39"/>
    </row>
    <row r="218" spans="1:26" ht="14.25" hidden="1" customHeight="1" x14ac:dyDescent="0.4">
      <c r="A218" s="24" t="s">
        <v>203</v>
      </c>
      <c r="B218" s="39"/>
      <c r="C218" s="39"/>
      <c r="D218" s="39"/>
      <c r="E218" s="39"/>
      <c r="F218" s="39"/>
      <c r="G218" s="39"/>
      <c r="H218" s="39"/>
      <c r="I218" s="39"/>
      <c r="J218" s="39"/>
      <c r="K218" s="39"/>
      <c r="L218" s="39"/>
      <c r="M218" s="39">
        <f t="shared" ref="M218:Y218" si="134">-$F$214</f>
        <v>0</v>
      </c>
      <c r="N218" s="39">
        <f t="shared" si="134"/>
        <v>0</v>
      </c>
      <c r="O218" s="39">
        <f t="shared" si="134"/>
        <v>0</v>
      </c>
      <c r="P218" s="39">
        <f t="shared" si="134"/>
        <v>0</v>
      </c>
      <c r="Q218" s="39">
        <f t="shared" si="134"/>
        <v>0</v>
      </c>
      <c r="R218" s="39">
        <f t="shared" si="134"/>
        <v>0</v>
      </c>
      <c r="S218" s="39">
        <f t="shared" si="134"/>
        <v>0</v>
      </c>
      <c r="T218" s="39">
        <f t="shared" si="134"/>
        <v>0</v>
      </c>
      <c r="U218" s="39">
        <f t="shared" si="134"/>
        <v>0</v>
      </c>
      <c r="V218" s="39">
        <f t="shared" si="134"/>
        <v>0</v>
      </c>
      <c r="W218" s="39">
        <f t="shared" si="134"/>
        <v>0</v>
      </c>
      <c r="X218" s="39">
        <f t="shared" si="134"/>
        <v>0</v>
      </c>
      <c r="Y218" s="39">
        <f t="shared" si="134"/>
        <v>0</v>
      </c>
      <c r="Z218" s="39"/>
    </row>
    <row r="219" spans="1:26" ht="14.25" hidden="1" customHeight="1" x14ac:dyDescent="0.4">
      <c r="A219" s="24" t="s">
        <v>204</v>
      </c>
      <c r="B219" s="39">
        <f t="shared" ref="B219:Y219" si="135">-B217*$F$110</f>
        <v>0</v>
      </c>
      <c r="C219" s="39">
        <f t="shared" si="135"/>
        <v>0</v>
      </c>
      <c r="D219" s="39">
        <f t="shared" si="135"/>
        <v>0</v>
      </c>
      <c r="E219" s="39">
        <f t="shared" si="135"/>
        <v>0</v>
      </c>
      <c r="F219" s="39">
        <f t="shared" si="135"/>
        <v>0</v>
      </c>
      <c r="G219" s="39">
        <f t="shared" si="135"/>
        <v>0</v>
      </c>
      <c r="H219" s="39">
        <f t="shared" si="135"/>
        <v>0</v>
      </c>
      <c r="I219" s="39">
        <f t="shared" si="135"/>
        <v>0</v>
      </c>
      <c r="J219" s="39">
        <f t="shared" si="135"/>
        <v>0</v>
      </c>
      <c r="K219" s="39">
        <f t="shared" si="135"/>
        <v>0</v>
      </c>
      <c r="L219" s="39">
        <f t="shared" si="135"/>
        <v>0</v>
      </c>
      <c r="M219" s="39">
        <f t="shared" si="135"/>
        <v>0</v>
      </c>
      <c r="N219" s="39">
        <f t="shared" si="135"/>
        <v>0</v>
      </c>
      <c r="O219" s="39">
        <f t="shared" si="135"/>
        <v>0</v>
      </c>
      <c r="P219" s="39">
        <f t="shared" si="135"/>
        <v>0</v>
      </c>
      <c r="Q219" s="39">
        <f t="shared" si="135"/>
        <v>0</v>
      </c>
      <c r="R219" s="39">
        <f t="shared" si="135"/>
        <v>0</v>
      </c>
      <c r="S219" s="39">
        <f t="shared" si="135"/>
        <v>0</v>
      </c>
      <c r="T219" s="39">
        <f t="shared" si="135"/>
        <v>0</v>
      </c>
      <c r="U219" s="39">
        <f t="shared" si="135"/>
        <v>0</v>
      </c>
      <c r="V219" s="39">
        <f t="shared" si="135"/>
        <v>0</v>
      </c>
      <c r="W219" s="39">
        <f t="shared" si="135"/>
        <v>0</v>
      </c>
      <c r="X219" s="39">
        <f t="shared" si="135"/>
        <v>0</v>
      </c>
      <c r="Y219" s="39">
        <f t="shared" si="135"/>
        <v>0</v>
      </c>
      <c r="Z219" s="39"/>
    </row>
    <row r="220" spans="1:26" ht="14.25" hidden="1" customHeight="1" x14ac:dyDescent="0.4">
      <c r="A220" s="24" t="s">
        <v>205</v>
      </c>
      <c r="B220" s="39"/>
      <c r="C220" s="39"/>
      <c r="D220" s="39"/>
      <c r="E220" s="39"/>
      <c r="F220" s="39"/>
      <c r="G220" s="39"/>
      <c r="H220" s="39"/>
      <c r="I220" s="39"/>
      <c r="J220" s="39"/>
      <c r="K220" s="39"/>
      <c r="L220" s="39"/>
      <c r="M220" s="39">
        <f t="shared" ref="M220:Y220" si="136">-M218+M219</f>
        <v>0</v>
      </c>
      <c r="N220" s="39">
        <f t="shared" si="136"/>
        <v>0</v>
      </c>
      <c r="O220" s="39">
        <f t="shared" si="136"/>
        <v>0</v>
      </c>
      <c r="P220" s="39">
        <f t="shared" si="136"/>
        <v>0</v>
      </c>
      <c r="Q220" s="39">
        <f t="shared" si="136"/>
        <v>0</v>
      </c>
      <c r="R220" s="39">
        <f t="shared" si="136"/>
        <v>0</v>
      </c>
      <c r="S220" s="39">
        <f t="shared" si="136"/>
        <v>0</v>
      </c>
      <c r="T220" s="39">
        <f t="shared" si="136"/>
        <v>0</v>
      </c>
      <c r="U220" s="39">
        <f t="shared" si="136"/>
        <v>0</v>
      </c>
      <c r="V220" s="39">
        <f t="shared" si="136"/>
        <v>0</v>
      </c>
      <c r="W220" s="39">
        <f t="shared" si="136"/>
        <v>0</v>
      </c>
      <c r="X220" s="39">
        <f t="shared" si="136"/>
        <v>0</v>
      </c>
      <c r="Y220" s="39">
        <f t="shared" si="136"/>
        <v>0</v>
      </c>
      <c r="Z220" s="39"/>
    </row>
    <row r="221" spans="1:26" ht="13.5" hidden="1" customHeight="1" x14ac:dyDescent="0.4">
      <c r="A221" s="24" t="s">
        <v>206</v>
      </c>
      <c r="B221" s="39">
        <f t="shared" ref="B221:Y221" si="137">B217-B220</f>
        <v>0</v>
      </c>
      <c r="C221" s="39">
        <f t="shared" si="137"/>
        <v>0</v>
      </c>
      <c r="D221" s="39">
        <f t="shared" si="137"/>
        <v>0</v>
      </c>
      <c r="E221" s="39">
        <f t="shared" si="137"/>
        <v>0</v>
      </c>
      <c r="F221" s="39">
        <f t="shared" si="137"/>
        <v>0</v>
      </c>
      <c r="G221" s="39">
        <f t="shared" si="137"/>
        <v>0</v>
      </c>
      <c r="H221" s="39">
        <f t="shared" si="137"/>
        <v>0</v>
      </c>
      <c r="I221" s="39">
        <f t="shared" si="137"/>
        <v>0</v>
      </c>
      <c r="J221" s="39">
        <f t="shared" si="137"/>
        <v>0</v>
      </c>
      <c r="K221" s="39">
        <f t="shared" si="137"/>
        <v>0</v>
      </c>
      <c r="L221" s="39">
        <f t="shared" si="137"/>
        <v>0</v>
      </c>
      <c r="M221" s="39">
        <f t="shared" si="137"/>
        <v>0</v>
      </c>
      <c r="N221" s="39">
        <f t="shared" si="137"/>
        <v>0</v>
      </c>
      <c r="O221" s="39">
        <f t="shared" si="137"/>
        <v>0</v>
      </c>
      <c r="P221" s="39">
        <f t="shared" si="137"/>
        <v>0</v>
      </c>
      <c r="Q221" s="39">
        <f t="shared" si="137"/>
        <v>0</v>
      </c>
      <c r="R221" s="39">
        <f t="shared" si="137"/>
        <v>0</v>
      </c>
      <c r="S221" s="39">
        <f t="shared" si="137"/>
        <v>0</v>
      </c>
      <c r="T221" s="39">
        <f t="shared" si="137"/>
        <v>0</v>
      </c>
      <c r="U221" s="39">
        <f t="shared" si="137"/>
        <v>0</v>
      </c>
      <c r="V221" s="39">
        <f t="shared" si="137"/>
        <v>0</v>
      </c>
      <c r="W221" s="39">
        <f t="shared" si="137"/>
        <v>0</v>
      </c>
      <c r="X221" s="39">
        <f t="shared" si="137"/>
        <v>0</v>
      </c>
      <c r="Y221" s="39">
        <f t="shared" si="137"/>
        <v>0</v>
      </c>
      <c r="Z221" s="39"/>
    </row>
    <row r="222" spans="1:26" ht="14.25" hidden="1" customHeight="1" x14ac:dyDescent="0.4">
      <c r="A222" s="148"/>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row>
    <row r="223" spans="1:26" ht="14.25" hidden="1" customHeight="1" x14ac:dyDescent="0.4"/>
    <row r="224" spans="1:26" ht="14.25" hidden="1" customHeight="1" thickBot="1" x14ac:dyDescent="0.45">
      <c r="A224" s="633" t="s">
        <v>189</v>
      </c>
      <c r="B224" s="634"/>
      <c r="C224" s="24"/>
    </row>
    <row r="225" spans="1:26" ht="14.25" hidden="1" customHeight="1" x14ac:dyDescent="0.4">
      <c r="A225" s="71" t="s">
        <v>234</v>
      </c>
      <c r="B225" s="71"/>
      <c r="C225" s="24"/>
    </row>
    <row r="226" spans="1:26" ht="14.25" hidden="1" customHeight="1" x14ac:dyDescent="0.4">
      <c r="A226" s="131" t="s">
        <v>191</v>
      </c>
      <c r="B226" s="70"/>
      <c r="C226" s="142">
        <f>'Budget First 84 months'!U20</f>
        <v>0</v>
      </c>
      <c r="E226" t="s">
        <v>192</v>
      </c>
      <c r="F226" t="s">
        <v>193</v>
      </c>
    </row>
    <row r="227" spans="1:26" ht="14.25" hidden="1" customHeight="1" x14ac:dyDescent="0.4">
      <c r="A227" s="131" t="s">
        <v>194</v>
      </c>
      <c r="B227" s="70"/>
      <c r="C227" s="143">
        <v>7</v>
      </c>
      <c r="E227" t="s">
        <v>195</v>
      </c>
      <c r="F227" s="38">
        <v>60</v>
      </c>
    </row>
    <row r="228" spans="1:26" ht="14.25" hidden="1" customHeight="1" x14ac:dyDescent="0.4">
      <c r="A228" t="s">
        <v>196</v>
      </c>
      <c r="C228" s="144">
        <v>0.09</v>
      </c>
      <c r="E228" t="s">
        <v>197</v>
      </c>
      <c r="F228" s="145">
        <f>C228/12</f>
        <v>7.4999999999999997E-3</v>
      </c>
    </row>
    <row r="229" spans="1:26" ht="14.25" hidden="1" customHeight="1" x14ac:dyDescent="0.4">
      <c r="A229" t="s">
        <v>198</v>
      </c>
      <c r="C229" s="146" t="s">
        <v>235</v>
      </c>
      <c r="E229" t="s">
        <v>200</v>
      </c>
      <c r="F229" s="147">
        <f>PMT(F228,F227,-C226,0)</f>
        <v>0</v>
      </c>
    </row>
    <row r="230" spans="1:26" ht="15" hidden="1" customHeight="1" x14ac:dyDescent="0.4"/>
    <row r="231" spans="1:26" ht="14.25" hidden="1" customHeight="1" x14ac:dyDescent="0.4">
      <c r="A231" s="71" t="s">
        <v>172</v>
      </c>
      <c r="B231" s="71">
        <v>17</v>
      </c>
      <c r="C231" s="71">
        <v>18</v>
      </c>
      <c r="D231" s="71">
        <v>19</v>
      </c>
      <c r="E231" s="71">
        <v>20</v>
      </c>
      <c r="F231" s="71">
        <v>21</v>
      </c>
      <c r="G231" s="71">
        <v>22</v>
      </c>
      <c r="H231" s="71">
        <v>23</v>
      </c>
      <c r="I231" s="71">
        <v>24</v>
      </c>
      <c r="J231" s="71">
        <v>25</v>
      </c>
      <c r="K231" s="71">
        <v>26</v>
      </c>
      <c r="L231" s="71">
        <v>27</v>
      </c>
      <c r="M231" s="71">
        <v>28</v>
      </c>
      <c r="N231" s="71">
        <v>29</v>
      </c>
      <c r="O231" s="71">
        <v>30</v>
      </c>
      <c r="P231" s="71">
        <v>31</v>
      </c>
      <c r="Q231" s="71">
        <v>32</v>
      </c>
      <c r="R231" s="71">
        <v>33</v>
      </c>
      <c r="S231" s="71">
        <v>34</v>
      </c>
      <c r="T231" s="71">
        <v>35</v>
      </c>
      <c r="U231" s="71">
        <v>36</v>
      </c>
      <c r="V231" s="71">
        <v>37</v>
      </c>
      <c r="W231" s="71">
        <v>38</v>
      </c>
      <c r="X231" s="71">
        <v>39</v>
      </c>
      <c r="Y231" s="71">
        <v>40</v>
      </c>
      <c r="Z231" s="149" t="s">
        <v>201</v>
      </c>
    </row>
    <row r="232" spans="1:26" ht="16.5" hidden="1" customHeight="1" x14ac:dyDescent="0.4">
      <c r="A232" s="24" t="s">
        <v>202</v>
      </c>
      <c r="B232" s="39">
        <f>C226</f>
        <v>0</v>
      </c>
      <c r="C232" s="39">
        <f t="shared" ref="C232:Y232" si="138">B236</f>
        <v>0</v>
      </c>
      <c r="D232" s="39">
        <f t="shared" si="138"/>
        <v>0</v>
      </c>
      <c r="E232" s="39">
        <f t="shared" si="138"/>
        <v>0</v>
      </c>
      <c r="F232" s="39">
        <f t="shared" si="138"/>
        <v>0</v>
      </c>
      <c r="G232" s="39">
        <f t="shared" si="138"/>
        <v>0</v>
      </c>
      <c r="H232" s="39">
        <f t="shared" si="138"/>
        <v>0</v>
      </c>
      <c r="I232" s="39">
        <f t="shared" si="138"/>
        <v>0</v>
      </c>
      <c r="J232" s="39">
        <f t="shared" si="138"/>
        <v>0</v>
      </c>
      <c r="K232" s="39">
        <f t="shared" si="138"/>
        <v>0</v>
      </c>
      <c r="L232" s="39">
        <f t="shared" si="138"/>
        <v>0</v>
      </c>
      <c r="M232" s="39">
        <f t="shared" si="138"/>
        <v>0</v>
      </c>
      <c r="N232" s="39">
        <f t="shared" si="138"/>
        <v>0</v>
      </c>
      <c r="O232" s="39">
        <f t="shared" si="138"/>
        <v>0</v>
      </c>
      <c r="P232" s="39">
        <f t="shared" si="138"/>
        <v>0</v>
      </c>
      <c r="Q232" s="39">
        <f t="shared" si="138"/>
        <v>0</v>
      </c>
      <c r="R232" s="39">
        <f t="shared" si="138"/>
        <v>0</v>
      </c>
      <c r="S232" s="39">
        <f t="shared" si="138"/>
        <v>0</v>
      </c>
      <c r="T232" s="39">
        <f t="shared" si="138"/>
        <v>0</v>
      </c>
      <c r="U232" s="39">
        <f t="shared" si="138"/>
        <v>0</v>
      </c>
      <c r="V232" s="39">
        <f t="shared" si="138"/>
        <v>0</v>
      </c>
      <c r="W232" s="39">
        <f t="shared" si="138"/>
        <v>0</v>
      </c>
      <c r="X232" s="39">
        <f t="shared" si="138"/>
        <v>0</v>
      </c>
      <c r="Y232" s="39">
        <f t="shared" si="138"/>
        <v>0</v>
      </c>
      <c r="Z232" s="39"/>
    </row>
    <row r="233" spans="1:26" ht="14.25" hidden="1" customHeight="1" x14ac:dyDescent="0.4">
      <c r="A233" s="24" t="s">
        <v>203</v>
      </c>
      <c r="B233" s="39"/>
      <c r="C233" s="39"/>
      <c r="D233" s="39"/>
      <c r="E233" s="39"/>
      <c r="F233" s="39"/>
      <c r="G233" s="39"/>
      <c r="H233" s="39"/>
      <c r="I233" s="39"/>
      <c r="J233" s="39"/>
      <c r="K233" s="39"/>
      <c r="L233" s="39"/>
      <c r="M233" s="39">
        <f>-$F$214</f>
        <v>0</v>
      </c>
      <c r="N233" s="39">
        <f t="shared" ref="N233:Y233" si="139">-$F$229</f>
        <v>0</v>
      </c>
      <c r="O233" s="39">
        <f t="shared" si="139"/>
        <v>0</v>
      </c>
      <c r="P233" s="39">
        <f t="shared" si="139"/>
        <v>0</v>
      </c>
      <c r="Q233" s="39">
        <f t="shared" si="139"/>
        <v>0</v>
      </c>
      <c r="R233" s="39">
        <f t="shared" si="139"/>
        <v>0</v>
      </c>
      <c r="S233" s="39">
        <f t="shared" si="139"/>
        <v>0</v>
      </c>
      <c r="T233" s="39">
        <f t="shared" si="139"/>
        <v>0</v>
      </c>
      <c r="U233" s="39">
        <f t="shared" si="139"/>
        <v>0</v>
      </c>
      <c r="V233" s="39">
        <f t="shared" si="139"/>
        <v>0</v>
      </c>
      <c r="W233" s="39">
        <f t="shared" si="139"/>
        <v>0</v>
      </c>
      <c r="X233" s="39">
        <f t="shared" si="139"/>
        <v>0</v>
      </c>
      <c r="Y233" s="39">
        <f t="shared" si="139"/>
        <v>0</v>
      </c>
      <c r="Z233" s="39"/>
    </row>
    <row r="234" spans="1:26" ht="14.25" hidden="1" customHeight="1" x14ac:dyDescent="0.4">
      <c r="A234" s="24" t="s">
        <v>204</v>
      </c>
      <c r="B234" s="39">
        <f t="shared" ref="B234:Y234" si="140">-B232*$F$110</f>
        <v>0</v>
      </c>
      <c r="C234" s="39">
        <f t="shared" si="140"/>
        <v>0</v>
      </c>
      <c r="D234" s="39">
        <f t="shared" si="140"/>
        <v>0</v>
      </c>
      <c r="E234" s="39">
        <f t="shared" si="140"/>
        <v>0</v>
      </c>
      <c r="F234" s="39">
        <f t="shared" si="140"/>
        <v>0</v>
      </c>
      <c r="G234" s="39">
        <f t="shared" si="140"/>
        <v>0</v>
      </c>
      <c r="H234" s="39">
        <f t="shared" si="140"/>
        <v>0</v>
      </c>
      <c r="I234" s="39">
        <f t="shared" si="140"/>
        <v>0</v>
      </c>
      <c r="J234" s="39">
        <f t="shared" si="140"/>
        <v>0</v>
      </c>
      <c r="K234" s="39">
        <f t="shared" si="140"/>
        <v>0</v>
      </c>
      <c r="L234" s="39">
        <f t="shared" si="140"/>
        <v>0</v>
      </c>
      <c r="M234" s="39">
        <f t="shared" si="140"/>
        <v>0</v>
      </c>
      <c r="N234" s="39">
        <f t="shared" si="140"/>
        <v>0</v>
      </c>
      <c r="O234" s="39">
        <f t="shared" si="140"/>
        <v>0</v>
      </c>
      <c r="P234" s="39">
        <f t="shared" si="140"/>
        <v>0</v>
      </c>
      <c r="Q234" s="39">
        <f t="shared" si="140"/>
        <v>0</v>
      </c>
      <c r="R234" s="39">
        <f t="shared" si="140"/>
        <v>0</v>
      </c>
      <c r="S234" s="39">
        <f t="shared" si="140"/>
        <v>0</v>
      </c>
      <c r="T234" s="39">
        <f t="shared" si="140"/>
        <v>0</v>
      </c>
      <c r="U234" s="39">
        <f t="shared" si="140"/>
        <v>0</v>
      </c>
      <c r="V234" s="39">
        <f t="shared" si="140"/>
        <v>0</v>
      </c>
      <c r="W234" s="39">
        <f t="shared" si="140"/>
        <v>0</v>
      </c>
      <c r="X234" s="39">
        <f t="shared" si="140"/>
        <v>0</v>
      </c>
      <c r="Y234" s="39">
        <f t="shared" si="140"/>
        <v>0</v>
      </c>
      <c r="Z234" s="39">
        <f>SUM(B234:Y234)</f>
        <v>0</v>
      </c>
    </row>
    <row r="235" spans="1:26" ht="14.25" hidden="1" customHeight="1" x14ac:dyDescent="0.4">
      <c r="A235" s="24" t="s">
        <v>205</v>
      </c>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row>
    <row r="236" spans="1:26" ht="13.5" hidden="1" customHeight="1" x14ac:dyDescent="0.4">
      <c r="A236" s="24" t="s">
        <v>206</v>
      </c>
      <c r="B236" s="39">
        <f t="shared" ref="B236:Y236" si="141">B232-B235</f>
        <v>0</v>
      </c>
      <c r="C236" s="39">
        <f t="shared" si="141"/>
        <v>0</v>
      </c>
      <c r="D236" s="39">
        <f t="shared" si="141"/>
        <v>0</v>
      </c>
      <c r="E236" s="39">
        <f t="shared" si="141"/>
        <v>0</v>
      </c>
      <c r="F236" s="39">
        <f t="shared" si="141"/>
        <v>0</v>
      </c>
      <c r="G236" s="39">
        <f t="shared" si="141"/>
        <v>0</v>
      </c>
      <c r="H236" s="39">
        <f t="shared" si="141"/>
        <v>0</v>
      </c>
      <c r="I236" s="39">
        <f t="shared" si="141"/>
        <v>0</v>
      </c>
      <c r="J236" s="39">
        <f t="shared" si="141"/>
        <v>0</v>
      </c>
      <c r="K236" s="39">
        <f t="shared" si="141"/>
        <v>0</v>
      </c>
      <c r="L236" s="39">
        <f t="shared" si="141"/>
        <v>0</v>
      </c>
      <c r="M236" s="39">
        <f t="shared" si="141"/>
        <v>0</v>
      </c>
      <c r="N236" s="39">
        <f t="shared" si="141"/>
        <v>0</v>
      </c>
      <c r="O236" s="39">
        <f t="shared" si="141"/>
        <v>0</v>
      </c>
      <c r="P236" s="39">
        <f t="shared" si="141"/>
        <v>0</v>
      </c>
      <c r="Q236" s="39">
        <f t="shared" si="141"/>
        <v>0</v>
      </c>
      <c r="R236" s="39">
        <f t="shared" si="141"/>
        <v>0</v>
      </c>
      <c r="S236" s="39">
        <f t="shared" si="141"/>
        <v>0</v>
      </c>
      <c r="T236" s="39">
        <f t="shared" si="141"/>
        <v>0</v>
      </c>
      <c r="U236" s="39">
        <f t="shared" si="141"/>
        <v>0</v>
      </c>
      <c r="V236" s="39">
        <f t="shared" si="141"/>
        <v>0</v>
      </c>
      <c r="W236" s="39">
        <f t="shared" si="141"/>
        <v>0</v>
      </c>
      <c r="X236" s="39">
        <f t="shared" si="141"/>
        <v>0</v>
      </c>
      <c r="Y236" s="39">
        <f t="shared" si="141"/>
        <v>0</v>
      </c>
      <c r="Z236" s="39"/>
    </row>
    <row r="237" spans="1:26" ht="14.25" hidden="1" customHeight="1" x14ac:dyDescent="0.4">
      <c r="A237" s="148"/>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row>
    <row r="238" spans="1:26" ht="14.25" hidden="1" customHeight="1" x14ac:dyDescent="0.4"/>
    <row r="239" spans="1:26" ht="14.25" hidden="1" customHeight="1" thickBot="1" x14ac:dyDescent="0.45">
      <c r="A239" s="633" t="s">
        <v>189</v>
      </c>
      <c r="B239" s="634"/>
      <c r="C239" s="24"/>
    </row>
    <row r="240" spans="1:26" ht="14.25" hidden="1" customHeight="1" x14ac:dyDescent="0.4">
      <c r="A240" s="132" t="s">
        <v>236</v>
      </c>
      <c r="B240" s="71"/>
      <c r="C240" s="24"/>
    </row>
    <row r="241" spans="1:78" ht="14.25" hidden="1" customHeight="1" x14ac:dyDescent="0.4">
      <c r="A241" s="131" t="s">
        <v>191</v>
      </c>
      <c r="B241" s="70"/>
      <c r="C241" s="142">
        <f>'Budget First 84 months'!V20</f>
        <v>0</v>
      </c>
      <c r="E241" t="s">
        <v>192</v>
      </c>
      <c r="F241" t="s">
        <v>193</v>
      </c>
    </row>
    <row r="242" spans="1:78" ht="14.25" hidden="1" customHeight="1" x14ac:dyDescent="0.4">
      <c r="A242" s="131" t="s">
        <v>194</v>
      </c>
      <c r="B242" s="70"/>
      <c r="C242" s="143">
        <v>7</v>
      </c>
      <c r="E242" t="s">
        <v>195</v>
      </c>
      <c r="F242" s="38">
        <v>60</v>
      </c>
    </row>
    <row r="243" spans="1:78" ht="14.25" hidden="1" customHeight="1" x14ac:dyDescent="0.4">
      <c r="A243" t="s">
        <v>196</v>
      </c>
      <c r="C243" s="144">
        <v>0.09</v>
      </c>
      <c r="E243" t="s">
        <v>197</v>
      </c>
      <c r="F243" s="145">
        <f>C243/12</f>
        <v>7.4999999999999997E-3</v>
      </c>
    </row>
    <row r="244" spans="1:78" ht="14.25" hidden="1" customHeight="1" x14ac:dyDescent="0.4">
      <c r="A244" t="s">
        <v>198</v>
      </c>
      <c r="C244" s="146" t="s">
        <v>237</v>
      </c>
      <c r="E244" t="s">
        <v>200</v>
      </c>
      <c r="F244" s="147">
        <f>PMT(F243,F242,-C241,0)</f>
        <v>0</v>
      </c>
    </row>
    <row r="245" spans="1:78" ht="15" hidden="1" customHeight="1" x14ac:dyDescent="0.4"/>
    <row r="246" spans="1:78" ht="14.25" hidden="1" customHeight="1" x14ac:dyDescent="0.4">
      <c r="A246" s="71" t="s">
        <v>172</v>
      </c>
      <c r="B246" s="149">
        <v>18</v>
      </c>
      <c r="C246" s="149">
        <v>19</v>
      </c>
      <c r="D246" s="149">
        <v>20</v>
      </c>
      <c r="E246" s="149">
        <v>21</v>
      </c>
      <c r="F246" s="149">
        <v>22</v>
      </c>
      <c r="G246" s="149">
        <v>23</v>
      </c>
      <c r="H246" s="149">
        <v>24</v>
      </c>
      <c r="I246" s="149">
        <v>25</v>
      </c>
      <c r="J246" s="149">
        <v>26</v>
      </c>
      <c r="K246" s="149">
        <v>27</v>
      </c>
      <c r="L246" s="149">
        <v>28</v>
      </c>
      <c r="M246" s="149">
        <v>29</v>
      </c>
      <c r="N246" s="149">
        <v>30</v>
      </c>
      <c r="O246" s="149">
        <v>31</v>
      </c>
      <c r="P246" s="149">
        <v>32</v>
      </c>
      <c r="Q246" s="149">
        <v>33</v>
      </c>
      <c r="R246" s="149">
        <v>34</v>
      </c>
      <c r="S246" s="149">
        <v>35</v>
      </c>
      <c r="T246" s="149">
        <v>36</v>
      </c>
      <c r="U246" s="149">
        <v>37</v>
      </c>
      <c r="V246" s="149">
        <v>38</v>
      </c>
      <c r="W246" s="149">
        <v>39</v>
      </c>
      <c r="X246" s="149">
        <v>40</v>
      </c>
      <c r="Y246" s="149">
        <v>41</v>
      </c>
      <c r="Z246" s="149" t="s">
        <v>201</v>
      </c>
    </row>
    <row r="247" spans="1:78" ht="16.5" hidden="1" customHeight="1" x14ac:dyDescent="0.4">
      <c r="A247" s="24" t="s">
        <v>202</v>
      </c>
      <c r="B247" s="39">
        <f>C241</f>
        <v>0</v>
      </c>
      <c r="C247" s="39">
        <f t="shared" ref="C247:Y247" si="142">B251</f>
        <v>0</v>
      </c>
      <c r="D247" s="39">
        <f t="shared" si="142"/>
        <v>0</v>
      </c>
      <c r="E247" s="39">
        <f t="shared" si="142"/>
        <v>0</v>
      </c>
      <c r="F247" s="39">
        <f t="shared" si="142"/>
        <v>0</v>
      </c>
      <c r="G247" s="39">
        <f t="shared" si="142"/>
        <v>0</v>
      </c>
      <c r="H247" s="39">
        <f t="shared" si="142"/>
        <v>0</v>
      </c>
      <c r="I247" s="39">
        <f t="shared" si="142"/>
        <v>0</v>
      </c>
      <c r="J247" s="39">
        <f t="shared" si="142"/>
        <v>0</v>
      </c>
      <c r="K247" s="39">
        <f t="shared" si="142"/>
        <v>0</v>
      </c>
      <c r="L247" s="39">
        <f t="shared" si="142"/>
        <v>0</v>
      </c>
      <c r="M247" s="39">
        <f t="shared" si="142"/>
        <v>0</v>
      </c>
      <c r="N247" s="39">
        <f t="shared" si="142"/>
        <v>0</v>
      </c>
      <c r="O247" s="39">
        <f t="shared" si="142"/>
        <v>0</v>
      </c>
      <c r="P247" s="39">
        <f t="shared" si="142"/>
        <v>0</v>
      </c>
      <c r="Q247" s="39">
        <f t="shared" si="142"/>
        <v>0</v>
      </c>
      <c r="R247" s="39">
        <f t="shared" si="142"/>
        <v>0</v>
      </c>
      <c r="S247" s="39">
        <f t="shared" si="142"/>
        <v>0</v>
      </c>
      <c r="T247" s="39">
        <f t="shared" si="142"/>
        <v>0</v>
      </c>
      <c r="U247" s="39">
        <f t="shared" si="142"/>
        <v>0</v>
      </c>
      <c r="V247" s="39">
        <f t="shared" si="142"/>
        <v>0</v>
      </c>
      <c r="W247" s="39">
        <f t="shared" si="142"/>
        <v>0</v>
      </c>
      <c r="X247" s="39">
        <f t="shared" si="142"/>
        <v>0</v>
      </c>
      <c r="Y247" s="39">
        <f t="shared" si="142"/>
        <v>0</v>
      </c>
      <c r="Z247" s="39"/>
    </row>
    <row r="248" spans="1:78" ht="14.25" hidden="1" customHeight="1" x14ac:dyDescent="0.4">
      <c r="A248" s="24" t="s">
        <v>203</v>
      </c>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row>
    <row r="249" spans="1:78" ht="14.25" hidden="1" customHeight="1" x14ac:dyDescent="0.4">
      <c r="A249" s="24" t="s">
        <v>204</v>
      </c>
      <c r="B249" s="39">
        <f t="shared" ref="B249:Y249" si="143">-B247*$F$110</f>
        <v>0</v>
      </c>
      <c r="C249" s="39">
        <f t="shared" si="143"/>
        <v>0</v>
      </c>
      <c r="D249" s="39">
        <f t="shared" si="143"/>
        <v>0</v>
      </c>
      <c r="E249" s="39">
        <f t="shared" si="143"/>
        <v>0</v>
      </c>
      <c r="F249" s="39">
        <f t="shared" si="143"/>
        <v>0</v>
      </c>
      <c r="G249" s="39">
        <f t="shared" si="143"/>
        <v>0</v>
      </c>
      <c r="H249" s="39">
        <f t="shared" si="143"/>
        <v>0</v>
      </c>
      <c r="I249" s="39">
        <f t="shared" si="143"/>
        <v>0</v>
      </c>
      <c r="J249" s="39">
        <f t="shared" si="143"/>
        <v>0</v>
      </c>
      <c r="K249" s="39">
        <f t="shared" si="143"/>
        <v>0</v>
      </c>
      <c r="L249" s="39">
        <f t="shared" si="143"/>
        <v>0</v>
      </c>
      <c r="M249" s="39">
        <f t="shared" si="143"/>
        <v>0</v>
      </c>
      <c r="N249" s="39">
        <f t="shared" si="143"/>
        <v>0</v>
      </c>
      <c r="O249" s="39">
        <f t="shared" si="143"/>
        <v>0</v>
      </c>
      <c r="P249" s="39">
        <f t="shared" si="143"/>
        <v>0</v>
      </c>
      <c r="Q249" s="39">
        <f t="shared" si="143"/>
        <v>0</v>
      </c>
      <c r="R249" s="39">
        <f t="shared" si="143"/>
        <v>0</v>
      </c>
      <c r="S249" s="39">
        <f t="shared" si="143"/>
        <v>0</v>
      </c>
      <c r="T249" s="39">
        <f t="shared" si="143"/>
        <v>0</v>
      </c>
      <c r="U249" s="39">
        <f t="shared" si="143"/>
        <v>0</v>
      </c>
      <c r="V249" s="39">
        <f t="shared" si="143"/>
        <v>0</v>
      </c>
      <c r="W249" s="39">
        <f t="shared" si="143"/>
        <v>0</v>
      </c>
      <c r="X249" s="39">
        <f t="shared" si="143"/>
        <v>0</v>
      </c>
      <c r="Y249" s="39">
        <f t="shared" si="143"/>
        <v>0</v>
      </c>
      <c r="Z249" s="39">
        <f>SUM(B249:Y249)</f>
        <v>0</v>
      </c>
    </row>
    <row r="250" spans="1:78" ht="14.25" hidden="1" customHeight="1" x14ac:dyDescent="0.4">
      <c r="A250" s="24" t="s">
        <v>205</v>
      </c>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row>
    <row r="251" spans="1:78" ht="13.5" hidden="1" customHeight="1" x14ac:dyDescent="0.4">
      <c r="A251" s="24" t="s">
        <v>206</v>
      </c>
      <c r="B251" s="39">
        <f t="shared" ref="B251:Y251" si="144">B247-B250</f>
        <v>0</v>
      </c>
      <c r="C251" s="39">
        <f t="shared" si="144"/>
        <v>0</v>
      </c>
      <c r="D251" s="39">
        <f t="shared" si="144"/>
        <v>0</v>
      </c>
      <c r="E251" s="39">
        <f t="shared" si="144"/>
        <v>0</v>
      </c>
      <c r="F251" s="39">
        <f t="shared" si="144"/>
        <v>0</v>
      </c>
      <c r="G251" s="39">
        <f t="shared" si="144"/>
        <v>0</v>
      </c>
      <c r="H251" s="39">
        <f t="shared" si="144"/>
        <v>0</v>
      </c>
      <c r="I251" s="39">
        <f t="shared" si="144"/>
        <v>0</v>
      </c>
      <c r="J251" s="39">
        <f t="shared" si="144"/>
        <v>0</v>
      </c>
      <c r="K251" s="39">
        <f t="shared" si="144"/>
        <v>0</v>
      </c>
      <c r="L251" s="39">
        <f t="shared" si="144"/>
        <v>0</v>
      </c>
      <c r="M251" s="39">
        <f t="shared" si="144"/>
        <v>0</v>
      </c>
      <c r="N251" s="39">
        <f t="shared" si="144"/>
        <v>0</v>
      </c>
      <c r="O251" s="39">
        <f t="shared" si="144"/>
        <v>0</v>
      </c>
      <c r="P251" s="39">
        <f t="shared" si="144"/>
        <v>0</v>
      </c>
      <c r="Q251" s="39">
        <f t="shared" si="144"/>
        <v>0</v>
      </c>
      <c r="R251" s="39">
        <f t="shared" si="144"/>
        <v>0</v>
      </c>
      <c r="S251" s="39">
        <f t="shared" si="144"/>
        <v>0</v>
      </c>
      <c r="T251" s="39">
        <f t="shared" si="144"/>
        <v>0</v>
      </c>
      <c r="U251" s="39">
        <f t="shared" si="144"/>
        <v>0</v>
      </c>
      <c r="V251" s="39">
        <f t="shared" si="144"/>
        <v>0</v>
      </c>
      <c r="W251" s="39">
        <f t="shared" si="144"/>
        <v>0</v>
      </c>
      <c r="X251" s="39">
        <f t="shared" si="144"/>
        <v>0</v>
      </c>
      <c r="Y251" s="39">
        <f t="shared" si="144"/>
        <v>0</v>
      </c>
      <c r="Z251" s="39"/>
    </row>
    <row r="252" spans="1:78" ht="14.25" hidden="1" customHeight="1" x14ac:dyDescent="0.4">
      <c r="A252" s="148"/>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148"/>
      <c r="BJ252" s="148"/>
      <c r="BK252" s="148"/>
      <c r="BL252" s="148"/>
      <c r="BM252" s="148"/>
      <c r="BN252" s="148"/>
      <c r="BO252" s="148"/>
      <c r="BP252" s="148"/>
      <c r="BQ252" s="148"/>
      <c r="BR252" s="148"/>
      <c r="BS252" s="148"/>
      <c r="BT252" s="148"/>
      <c r="BU252" s="148"/>
      <c r="BV252" s="148"/>
      <c r="BW252" s="148"/>
      <c r="BX252" s="148"/>
      <c r="BY252" s="148"/>
      <c r="BZ252" s="148"/>
    </row>
    <row r="253" spans="1:78" ht="14.25" hidden="1" customHeight="1" thickBot="1" x14ac:dyDescent="0.45">
      <c r="A253" s="633" t="s">
        <v>189</v>
      </c>
      <c r="B253" s="634"/>
      <c r="C253" s="24"/>
    </row>
    <row r="254" spans="1:78" ht="14.25" hidden="1" customHeight="1" x14ac:dyDescent="0.4">
      <c r="A254" s="132" t="s">
        <v>238</v>
      </c>
      <c r="B254" s="71"/>
      <c r="C254" s="24"/>
    </row>
    <row r="255" spans="1:78" ht="14.25" hidden="1" customHeight="1" x14ac:dyDescent="0.4">
      <c r="A255" s="131" t="s">
        <v>239</v>
      </c>
      <c r="B255" s="70"/>
      <c r="C255" s="142">
        <v>0</v>
      </c>
      <c r="E255" t="s">
        <v>192</v>
      </c>
      <c r="F255" t="s">
        <v>240</v>
      </c>
    </row>
    <row r="256" spans="1:78" ht="14.25" hidden="1" customHeight="1" x14ac:dyDescent="0.4">
      <c r="A256" s="131" t="s">
        <v>194</v>
      </c>
      <c r="B256" s="70"/>
      <c r="C256" s="143">
        <v>7</v>
      </c>
      <c r="E256" t="s">
        <v>195</v>
      </c>
      <c r="F256" s="38">
        <v>60</v>
      </c>
    </row>
    <row r="257" spans="1:26" ht="14.25" hidden="1" customHeight="1" x14ac:dyDescent="0.4">
      <c r="A257" t="s">
        <v>241</v>
      </c>
      <c r="C257" s="144">
        <v>0.09</v>
      </c>
      <c r="E257" t="s">
        <v>197</v>
      </c>
      <c r="F257" s="145">
        <f>C257/12</f>
        <v>7.4999999999999997E-3</v>
      </c>
    </row>
    <row r="258" spans="1:26" ht="14.25" hidden="1" customHeight="1" x14ac:dyDescent="0.4">
      <c r="A258" t="s">
        <v>198</v>
      </c>
      <c r="C258" s="146" t="s">
        <v>242</v>
      </c>
      <c r="E258" t="s">
        <v>200</v>
      </c>
      <c r="F258" s="147">
        <f>PMT(F257,F256,-C255,0)</f>
        <v>0</v>
      </c>
    </row>
    <row r="259" spans="1:26" ht="15" hidden="1" customHeight="1" x14ac:dyDescent="0.4"/>
    <row r="260" spans="1:26" ht="14.25" hidden="1" customHeight="1" x14ac:dyDescent="0.4">
      <c r="A260" s="71" t="s">
        <v>172</v>
      </c>
      <c r="B260" s="71">
        <v>19</v>
      </c>
      <c r="C260" s="71">
        <v>20</v>
      </c>
      <c r="D260" s="71">
        <v>21</v>
      </c>
      <c r="E260" s="71">
        <v>22</v>
      </c>
      <c r="F260" s="71">
        <v>23</v>
      </c>
      <c r="G260" s="71">
        <v>24</v>
      </c>
      <c r="H260" s="71">
        <v>25</v>
      </c>
      <c r="I260" s="71">
        <v>26</v>
      </c>
      <c r="J260" s="71">
        <v>27</v>
      </c>
      <c r="K260" s="71">
        <v>28</v>
      </c>
      <c r="L260" s="71">
        <v>29</v>
      </c>
      <c r="M260" s="71">
        <v>30</v>
      </c>
      <c r="N260" s="71">
        <v>31</v>
      </c>
      <c r="O260" s="71">
        <v>32</v>
      </c>
      <c r="P260" s="71">
        <v>33</v>
      </c>
      <c r="Q260" s="71">
        <v>34</v>
      </c>
      <c r="R260" s="71">
        <v>35</v>
      </c>
      <c r="S260" s="71">
        <v>36</v>
      </c>
      <c r="T260" s="71">
        <v>37</v>
      </c>
      <c r="U260" s="71">
        <v>38</v>
      </c>
      <c r="V260" s="71">
        <v>39</v>
      </c>
      <c r="W260" s="71">
        <v>40</v>
      </c>
      <c r="X260" s="71">
        <v>41</v>
      </c>
      <c r="Y260" s="71">
        <v>42</v>
      </c>
      <c r="Z260" s="71"/>
    </row>
    <row r="261" spans="1:26" ht="16.5" hidden="1" customHeight="1" x14ac:dyDescent="0.4">
      <c r="A261" s="24" t="s">
        <v>202</v>
      </c>
      <c r="B261" s="39">
        <f>C255</f>
        <v>0</v>
      </c>
      <c r="C261" s="39">
        <f t="shared" ref="C261:Y261" si="145">B265</f>
        <v>0</v>
      </c>
      <c r="D261" s="39">
        <f t="shared" si="145"/>
        <v>0</v>
      </c>
      <c r="E261" s="39">
        <f t="shared" si="145"/>
        <v>0</v>
      </c>
      <c r="F261" s="39">
        <f t="shared" si="145"/>
        <v>0</v>
      </c>
      <c r="G261" s="39">
        <f t="shared" si="145"/>
        <v>0</v>
      </c>
      <c r="H261" s="39">
        <f t="shared" si="145"/>
        <v>0</v>
      </c>
      <c r="I261" s="39">
        <f t="shared" si="145"/>
        <v>0</v>
      </c>
      <c r="J261" s="39">
        <f t="shared" si="145"/>
        <v>0</v>
      </c>
      <c r="K261" s="39">
        <f t="shared" si="145"/>
        <v>0</v>
      </c>
      <c r="L261" s="39">
        <f t="shared" si="145"/>
        <v>0</v>
      </c>
      <c r="M261" s="39">
        <f t="shared" si="145"/>
        <v>0</v>
      </c>
      <c r="N261" s="39">
        <f t="shared" si="145"/>
        <v>0</v>
      </c>
      <c r="O261" s="39">
        <f t="shared" si="145"/>
        <v>0</v>
      </c>
      <c r="P261" s="39">
        <f t="shared" si="145"/>
        <v>0</v>
      </c>
      <c r="Q261" s="39">
        <f t="shared" si="145"/>
        <v>0</v>
      </c>
      <c r="R261" s="39">
        <f t="shared" si="145"/>
        <v>0</v>
      </c>
      <c r="S261" s="39">
        <f t="shared" si="145"/>
        <v>0</v>
      </c>
      <c r="T261" s="39">
        <f t="shared" si="145"/>
        <v>0</v>
      </c>
      <c r="U261" s="39">
        <f t="shared" si="145"/>
        <v>0</v>
      </c>
      <c r="V261" s="39">
        <f t="shared" si="145"/>
        <v>0</v>
      </c>
      <c r="W261" s="39">
        <f t="shared" si="145"/>
        <v>0</v>
      </c>
      <c r="X261" s="39">
        <f t="shared" si="145"/>
        <v>0</v>
      </c>
      <c r="Y261" s="39">
        <f t="shared" si="145"/>
        <v>0</v>
      </c>
      <c r="Z261" s="39"/>
    </row>
    <row r="262" spans="1:26" ht="14.25" hidden="1" customHeight="1" x14ac:dyDescent="0.4">
      <c r="A262" s="24" t="s">
        <v>203</v>
      </c>
      <c r="B262" s="39"/>
      <c r="C262" s="39"/>
      <c r="D262" s="39"/>
      <c r="E262" s="39"/>
      <c r="F262" s="39"/>
      <c r="G262" s="39"/>
      <c r="H262" s="39"/>
      <c r="I262" s="39"/>
      <c r="J262" s="39"/>
      <c r="K262" s="39"/>
      <c r="L262" s="39"/>
      <c r="M262" s="39">
        <f t="shared" ref="M262:Y262" si="146">-$F$258</f>
        <v>0</v>
      </c>
      <c r="N262" s="39">
        <f t="shared" si="146"/>
        <v>0</v>
      </c>
      <c r="O262" s="39">
        <f t="shared" si="146"/>
        <v>0</v>
      </c>
      <c r="P262" s="39">
        <f t="shared" si="146"/>
        <v>0</v>
      </c>
      <c r="Q262" s="39">
        <f t="shared" si="146"/>
        <v>0</v>
      </c>
      <c r="R262" s="39">
        <f t="shared" si="146"/>
        <v>0</v>
      </c>
      <c r="S262" s="39">
        <f t="shared" si="146"/>
        <v>0</v>
      </c>
      <c r="T262" s="39">
        <f t="shared" si="146"/>
        <v>0</v>
      </c>
      <c r="U262" s="39">
        <f t="shared" si="146"/>
        <v>0</v>
      </c>
      <c r="V262" s="39">
        <f t="shared" si="146"/>
        <v>0</v>
      </c>
      <c r="W262" s="39">
        <f t="shared" si="146"/>
        <v>0</v>
      </c>
      <c r="X262" s="39">
        <f t="shared" si="146"/>
        <v>0</v>
      </c>
      <c r="Y262" s="39">
        <f t="shared" si="146"/>
        <v>0</v>
      </c>
      <c r="Z262" s="39"/>
    </row>
    <row r="263" spans="1:26" ht="14.25" hidden="1" customHeight="1" x14ac:dyDescent="0.4">
      <c r="A263" s="24" t="s">
        <v>204</v>
      </c>
      <c r="B263" s="39">
        <f t="shared" ref="B263:Y263" si="147">-B261*$F$110</f>
        <v>0</v>
      </c>
      <c r="C263" s="39">
        <f t="shared" si="147"/>
        <v>0</v>
      </c>
      <c r="D263" s="39">
        <f t="shared" si="147"/>
        <v>0</v>
      </c>
      <c r="E263" s="39">
        <f t="shared" si="147"/>
        <v>0</v>
      </c>
      <c r="F263" s="39">
        <f t="shared" si="147"/>
        <v>0</v>
      </c>
      <c r="G263" s="39">
        <f t="shared" si="147"/>
        <v>0</v>
      </c>
      <c r="H263" s="39">
        <f t="shared" si="147"/>
        <v>0</v>
      </c>
      <c r="I263" s="39">
        <f t="shared" si="147"/>
        <v>0</v>
      </c>
      <c r="J263" s="39">
        <f t="shared" si="147"/>
        <v>0</v>
      </c>
      <c r="K263" s="39">
        <f t="shared" si="147"/>
        <v>0</v>
      </c>
      <c r="L263" s="39">
        <f t="shared" si="147"/>
        <v>0</v>
      </c>
      <c r="M263" s="39">
        <f t="shared" si="147"/>
        <v>0</v>
      </c>
      <c r="N263" s="39">
        <f t="shared" si="147"/>
        <v>0</v>
      </c>
      <c r="O263" s="39">
        <f t="shared" si="147"/>
        <v>0</v>
      </c>
      <c r="P263" s="39">
        <f t="shared" si="147"/>
        <v>0</v>
      </c>
      <c r="Q263" s="39">
        <f t="shared" si="147"/>
        <v>0</v>
      </c>
      <c r="R263" s="39">
        <f t="shared" si="147"/>
        <v>0</v>
      </c>
      <c r="S263" s="39">
        <f t="shared" si="147"/>
        <v>0</v>
      </c>
      <c r="T263" s="39">
        <f t="shared" si="147"/>
        <v>0</v>
      </c>
      <c r="U263" s="39">
        <f t="shared" si="147"/>
        <v>0</v>
      </c>
      <c r="V263" s="39">
        <f t="shared" si="147"/>
        <v>0</v>
      </c>
      <c r="W263" s="39">
        <f t="shared" si="147"/>
        <v>0</v>
      </c>
      <c r="X263" s="39">
        <f t="shared" si="147"/>
        <v>0</v>
      </c>
      <c r="Y263" s="39">
        <f t="shared" si="147"/>
        <v>0</v>
      </c>
      <c r="Z263" s="39"/>
    </row>
    <row r="264" spans="1:26" ht="14.25" hidden="1" customHeight="1" x14ac:dyDescent="0.4">
      <c r="A264" s="24" t="s">
        <v>243</v>
      </c>
      <c r="B264" s="39"/>
      <c r="C264" s="39"/>
      <c r="D264" s="39"/>
      <c r="E264" s="39"/>
      <c r="F264" s="39"/>
      <c r="G264" s="39"/>
      <c r="H264" s="39"/>
      <c r="I264" s="39"/>
      <c r="J264" s="39"/>
      <c r="K264" s="39"/>
      <c r="L264" s="39"/>
      <c r="M264" s="39">
        <f t="shared" ref="M264:Y264" si="148">-M262+M263</f>
        <v>0</v>
      </c>
      <c r="N264" s="39">
        <f t="shared" si="148"/>
        <v>0</v>
      </c>
      <c r="O264" s="39">
        <f t="shared" si="148"/>
        <v>0</v>
      </c>
      <c r="P264" s="39">
        <f t="shared" si="148"/>
        <v>0</v>
      </c>
      <c r="Q264" s="39">
        <f t="shared" si="148"/>
        <v>0</v>
      </c>
      <c r="R264" s="39">
        <f t="shared" si="148"/>
        <v>0</v>
      </c>
      <c r="S264" s="39">
        <f t="shared" si="148"/>
        <v>0</v>
      </c>
      <c r="T264" s="39">
        <f t="shared" si="148"/>
        <v>0</v>
      </c>
      <c r="U264" s="39">
        <f t="shared" si="148"/>
        <v>0</v>
      </c>
      <c r="V264" s="39">
        <f t="shared" si="148"/>
        <v>0</v>
      </c>
      <c r="W264" s="39">
        <f t="shared" si="148"/>
        <v>0</v>
      </c>
      <c r="X264" s="39">
        <f t="shared" si="148"/>
        <v>0</v>
      </c>
      <c r="Y264" s="39">
        <f t="shared" si="148"/>
        <v>0</v>
      </c>
      <c r="Z264" s="39"/>
    </row>
    <row r="265" spans="1:26" ht="13.5" hidden="1" customHeight="1" x14ac:dyDescent="0.4">
      <c r="A265" s="24" t="s">
        <v>206</v>
      </c>
      <c r="B265" s="39">
        <f t="shared" ref="B265:Y265" si="149">B261-B264</f>
        <v>0</v>
      </c>
      <c r="C265" s="39">
        <f t="shared" si="149"/>
        <v>0</v>
      </c>
      <c r="D265" s="39">
        <f t="shared" si="149"/>
        <v>0</v>
      </c>
      <c r="E265" s="39">
        <f t="shared" si="149"/>
        <v>0</v>
      </c>
      <c r="F265" s="39">
        <f t="shared" si="149"/>
        <v>0</v>
      </c>
      <c r="G265" s="39">
        <f t="shared" si="149"/>
        <v>0</v>
      </c>
      <c r="H265" s="39">
        <f t="shared" si="149"/>
        <v>0</v>
      </c>
      <c r="I265" s="39">
        <f t="shared" si="149"/>
        <v>0</v>
      </c>
      <c r="J265" s="39">
        <f t="shared" si="149"/>
        <v>0</v>
      </c>
      <c r="K265" s="39">
        <f t="shared" si="149"/>
        <v>0</v>
      </c>
      <c r="L265" s="39">
        <f t="shared" si="149"/>
        <v>0</v>
      </c>
      <c r="M265" s="39">
        <f t="shared" si="149"/>
        <v>0</v>
      </c>
      <c r="N265" s="39">
        <f t="shared" si="149"/>
        <v>0</v>
      </c>
      <c r="O265" s="39">
        <f t="shared" si="149"/>
        <v>0</v>
      </c>
      <c r="P265" s="39">
        <f t="shared" si="149"/>
        <v>0</v>
      </c>
      <c r="Q265" s="39">
        <f t="shared" si="149"/>
        <v>0</v>
      </c>
      <c r="R265" s="39">
        <f t="shared" si="149"/>
        <v>0</v>
      </c>
      <c r="S265" s="39">
        <f t="shared" si="149"/>
        <v>0</v>
      </c>
      <c r="T265" s="39">
        <f t="shared" si="149"/>
        <v>0</v>
      </c>
      <c r="U265" s="39">
        <f t="shared" si="149"/>
        <v>0</v>
      </c>
      <c r="V265" s="39">
        <f t="shared" si="149"/>
        <v>0</v>
      </c>
      <c r="W265" s="39">
        <f t="shared" si="149"/>
        <v>0</v>
      </c>
      <c r="X265" s="39">
        <f t="shared" si="149"/>
        <v>0</v>
      </c>
      <c r="Y265" s="39">
        <f t="shared" si="149"/>
        <v>0</v>
      </c>
      <c r="Z265" s="39"/>
    </row>
    <row r="266" spans="1:26" ht="14.25" hidden="1" customHeight="1" x14ac:dyDescent="0.4">
      <c r="A266" s="148"/>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row>
    <row r="267" spans="1:26" ht="14.25" hidden="1" customHeight="1" thickBot="1" x14ac:dyDescent="0.45">
      <c r="A267" s="633" t="s">
        <v>189</v>
      </c>
      <c r="B267" s="634"/>
      <c r="C267" s="24"/>
    </row>
    <row r="268" spans="1:26" ht="14.25" hidden="1" customHeight="1" x14ac:dyDescent="0.4">
      <c r="A268" s="132" t="s">
        <v>244</v>
      </c>
      <c r="B268" s="71"/>
      <c r="C268" s="24"/>
    </row>
    <row r="269" spans="1:26" ht="14.25" hidden="1" customHeight="1" x14ac:dyDescent="0.4">
      <c r="A269" s="131" t="s">
        <v>239</v>
      </c>
      <c r="B269" s="70"/>
      <c r="C269" s="142">
        <v>0</v>
      </c>
      <c r="E269" t="s">
        <v>192</v>
      </c>
      <c r="F269" t="s">
        <v>240</v>
      </c>
    </row>
    <row r="270" spans="1:26" ht="14.25" hidden="1" customHeight="1" x14ac:dyDescent="0.4">
      <c r="A270" s="131" t="s">
        <v>194</v>
      </c>
      <c r="B270" s="70"/>
      <c r="C270" s="143">
        <v>7</v>
      </c>
      <c r="E270" t="s">
        <v>195</v>
      </c>
      <c r="F270" s="38">
        <v>60</v>
      </c>
    </row>
    <row r="271" spans="1:26" ht="14.25" hidden="1" customHeight="1" x14ac:dyDescent="0.4">
      <c r="A271" t="s">
        <v>241</v>
      </c>
      <c r="C271" s="144">
        <v>0.09</v>
      </c>
      <c r="E271" t="s">
        <v>197</v>
      </c>
      <c r="F271" s="145">
        <f>C271/12</f>
        <v>7.4999999999999997E-3</v>
      </c>
    </row>
    <row r="272" spans="1:26" ht="14.25" hidden="1" customHeight="1" x14ac:dyDescent="0.4">
      <c r="A272" t="s">
        <v>198</v>
      </c>
      <c r="C272" s="146" t="s">
        <v>245</v>
      </c>
      <c r="E272" t="s">
        <v>200</v>
      </c>
      <c r="F272" s="147">
        <f>PMT(F271,F270,-C269,0)</f>
        <v>0</v>
      </c>
    </row>
    <row r="273" spans="1:26" ht="15" hidden="1" customHeight="1" x14ac:dyDescent="0.4"/>
    <row r="274" spans="1:26" ht="14.25" hidden="1" customHeight="1" x14ac:dyDescent="0.4">
      <c r="A274" s="71" t="s">
        <v>172</v>
      </c>
      <c r="B274" s="71">
        <v>20</v>
      </c>
      <c r="C274" s="71">
        <v>21</v>
      </c>
      <c r="D274" s="71">
        <v>22</v>
      </c>
      <c r="E274" s="71">
        <v>23</v>
      </c>
      <c r="F274" s="71">
        <v>24</v>
      </c>
      <c r="G274" s="71">
        <v>25</v>
      </c>
      <c r="H274" s="71">
        <v>26</v>
      </c>
      <c r="I274" s="71">
        <v>27</v>
      </c>
      <c r="J274" s="71">
        <v>28</v>
      </c>
      <c r="K274" s="71">
        <v>29</v>
      </c>
      <c r="L274" s="71">
        <v>30</v>
      </c>
      <c r="M274" s="71">
        <v>31</v>
      </c>
      <c r="N274" s="71">
        <v>32</v>
      </c>
      <c r="O274" s="71">
        <v>33</v>
      </c>
      <c r="P274" s="71">
        <v>34</v>
      </c>
      <c r="Q274" s="71">
        <v>35</v>
      </c>
      <c r="R274" s="71">
        <v>36</v>
      </c>
      <c r="S274" s="71">
        <v>37</v>
      </c>
      <c r="T274" s="71">
        <v>38</v>
      </c>
      <c r="U274" s="71">
        <v>39</v>
      </c>
      <c r="V274" s="71">
        <v>40</v>
      </c>
      <c r="W274" s="71">
        <v>41</v>
      </c>
      <c r="X274" s="71">
        <v>42</v>
      </c>
      <c r="Y274" s="71">
        <v>43</v>
      </c>
      <c r="Z274" s="71"/>
    </row>
    <row r="275" spans="1:26" ht="16.5" hidden="1" customHeight="1" x14ac:dyDescent="0.4">
      <c r="A275" s="24" t="s">
        <v>202</v>
      </c>
      <c r="B275" s="39">
        <f>C269</f>
        <v>0</v>
      </c>
      <c r="C275" s="39">
        <f t="shared" ref="C275:Y275" si="150">B279</f>
        <v>0</v>
      </c>
      <c r="D275" s="39">
        <f t="shared" si="150"/>
        <v>0</v>
      </c>
      <c r="E275" s="39">
        <f t="shared" si="150"/>
        <v>0</v>
      </c>
      <c r="F275" s="39">
        <f t="shared" si="150"/>
        <v>0</v>
      </c>
      <c r="G275" s="39">
        <f t="shared" si="150"/>
        <v>0</v>
      </c>
      <c r="H275" s="39">
        <f t="shared" si="150"/>
        <v>0</v>
      </c>
      <c r="I275" s="39">
        <f t="shared" si="150"/>
        <v>0</v>
      </c>
      <c r="J275" s="39">
        <f t="shared" si="150"/>
        <v>0</v>
      </c>
      <c r="K275" s="39">
        <f t="shared" si="150"/>
        <v>0</v>
      </c>
      <c r="L275" s="39">
        <f t="shared" si="150"/>
        <v>0</v>
      </c>
      <c r="M275" s="39">
        <f t="shared" si="150"/>
        <v>0</v>
      </c>
      <c r="N275" s="39">
        <f t="shared" si="150"/>
        <v>0</v>
      </c>
      <c r="O275" s="39">
        <f t="shared" si="150"/>
        <v>0</v>
      </c>
      <c r="P275" s="39">
        <f t="shared" si="150"/>
        <v>0</v>
      </c>
      <c r="Q275" s="39">
        <f t="shared" si="150"/>
        <v>0</v>
      </c>
      <c r="R275" s="39">
        <f t="shared" si="150"/>
        <v>0</v>
      </c>
      <c r="S275" s="39">
        <f t="shared" si="150"/>
        <v>0</v>
      </c>
      <c r="T275" s="39">
        <f t="shared" si="150"/>
        <v>0</v>
      </c>
      <c r="U275" s="39">
        <f t="shared" si="150"/>
        <v>0</v>
      </c>
      <c r="V275" s="39">
        <f t="shared" si="150"/>
        <v>0</v>
      </c>
      <c r="W275" s="39">
        <f t="shared" si="150"/>
        <v>0</v>
      </c>
      <c r="X275" s="39">
        <f t="shared" si="150"/>
        <v>0</v>
      </c>
      <c r="Y275" s="39">
        <f t="shared" si="150"/>
        <v>0</v>
      </c>
      <c r="Z275" s="39"/>
    </row>
    <row r="276" spans="1:26" ht="14.25" hidden="1" customHeight="1" x14ac:dyDescent="0.4">
      <c r="A276" s="24" t="s">
        <v>203</v>
      </c>
      <c r="B276" s="39"/>
      <c r="C276" s="39"/>
      <c r="D276" s="39"/>
      <c r="E276" s="39"/>
      <c r="F276" s="39"/>
      <c r="G276" s="39"/>
      <c r="H276" s="39"/>
      <c r="I276" s="39"/>
      <c r="J276" s="39"/>
      <c r="K276" s="39"/>
      <c r="L276" s="39"/>
      <c r="M276" s="39">
        <f t="shared" ref="M276:Y276" si="151">-$F$272</f>
        <v>0</v>
      </c>
      <c r="N276" s="39">
        <f t="shared" si="151"/>
        <v>0</v>
      </c>
      <c r="O276" s="39">
        <f t="shared" si="151"/>
        <v>0</v>
      </c>
      <c r="P276" s="39">
        <f t="shared" si="151"/>
        <v>0</v>
      </c>
      <c r="Q276" s="39">
        <f t="shared" si="151"/>
        <v>0</v>
      </c>
      <c r="R276" s="39">
        <f t="shared" si="151"/>
        <v>0</v>
      </c>
      <c r="S276" s="39">
        <f t="shared" si="151"/>
        <v>0</v>
      </c>
      <c r="T276" s="39">
        <f t="shared" si="151"/>
        <v>0</v>
      </c>
      <c r="U276" s="39">
        <f t="shared" si="151"/>
        <v>0</v>
      </c>
      <c r="V276" s="39">
        <f t="shared" si="151"/>
        <v>0</v>
      </c>
      <c r="W276" s="39">
        <f t="shared" si="151"/>
        <v>0</v>
      </c>
      <c r="X276" s="39">
        <f t="shared" si="151"/>
        <v>0</v>
      </c>
      <c r="Y276" s="39">
        <f t="shared" si="151"/>
        <v>0</v>
      </c>
      <c r="Z276" s="39"/>
    </row>
    <row r="277" spans="1:26" ht="14.25" hidden="1" customHeight="1" x14ac:dyDescent="0.4">
      <c r="A277" s="24" t="s">
        <v>204</v>
      </c>
      <c r="B277" s="39">
        <f t="shared" ref="B277:Y277" si="152">-B275*$F$110</f>
        <v>0</v>
      </c>
      <c r="C277" s="39">
        <f t="shared" si="152"/>
        <v>0</v>
      </c>
      <c r="D277" s="39">
        <f t="shared" si="152"/>
        <v>0</v>
      </c>
      <c r="E277" s="39">
        <f t="shared" si="152"/>
        <v>0</v>
      </c>
      <c r="F277" s="39">
        <f t="shared" si="152"/>
        <v>0</v>
      </c>
      <c r="G277" s="39">
        <f t="shared" si="152"/>
        <v>0</v>
      </c>
      <c r="H277" s="39">
        <f t="shared" si="152"/>
        <v>0</v>
      </c>
      <c r="I277" s="39">
        <f t="shared" si="152"/>
        <v>0</v>
      </c>
      <c r="J277" s="39">
        <f t="shared" si="152"/>
        <v>0</v>
      </c>
      <c r="K277" s="39">
        <f t="shared" si="152"/>
        <v>0</v>
      </c>
      <c r="L277" s="39">
        <f t="shared" si="152"/>
        <v>0</v>
      </c>
      <c r="M277" s="39">
        <f t="shared" si="152"/>
        <v>0</v>
      </c>
      <c r="N277" s="39">
        <f t="shared" si="152"/>
        <v>0</v>
      </c>
      <c r="O277" s="39">
        <f t="shared" si="152"/>
        <v>0</v>
      </c>
      <c r="P277" s="39">
        <f t="shared" si="152"/>
        <v>0</v>
      </c>
      <c r="Q277" s="39">
        <f t="shared" si="152"/>
        <v>0</v>
      </c>
      <c r="R277" s="39">
        <f t="shared" si="152"/>
        <v>0</v>
      </c>
      <c r="S277" s="39">
        <f t="shared" si="152"/>
        <v>0</v>
      </c>
      <c r="T277" s="39">
        <f t="shared" si="152"/>
        <v>0</v>
      </c>
      <c r="U277" s="39">
        <f t="shared" si="152"/>
        <v>0</v>
      </c>
      <c r="V277" s="39">
        <f t="shared" si="152"/>
        <v>0</v>
      </c>
      <c r="W277" s="39">
        <f t="shared" si="152"/>
        <v>0</v>
      </c>
      <c r="X277" s="39">
        <f t="shared" si="152"/>
        <v>0</v>
      </c>
      <c r="Y277" s="39">
        <f t="shared" si="152"/>
        <v>0</v>
      </c>
      <c r="Z277" s="39"/>
    </row>
    <row r="278" spans="1:26" ht="14.25" hidden="1" customHeight="1" x14ac:dyDescent="0.4">
      <c r="A278" s="24" t="s">
        <v>243</v>
      </c>
      <c r="B278" s="39"/>
      <c r="C278" s="39"/>
      <c r="D278" s="39"/>
      <c r="E278" s="39"/>
      <c r="F278" s="39"/>
      <c r="G278" s="39"/>
      <c r="H278" s="39"/>
      <c r="I278" s="39"/>
      <c r="J278" s="39"/>
      <c r="K278" s="39"/>
      <c r="L278" s="39"/>
      <c r="M278" s="39">
        <f t="shared" ref="M278:Y278" si="153">-M276+M277</f>
        <v>0</v>
      </c>
      <c r="N278" s="39">
        <f t="shared" si="153"/>
        <v>0</v>
      </c>
      <c r="O278" s="39">
        <f t="shared" si="153"/>
        <v>0</v>
      </c>
      <c r="P278" s="39">
        <f t="shared" si="153"/>
        <v>0</v>
      </c>
      <c r="Q278" s="39">
        <f t="shared" si="153"/>
        <v>0</v>
      </c>
      <c r="R278" s="39">
        <f t="shared" si="153"/>
        <v>0</v>
      </c>
      <c r="S278" s="39">
        <f t="shared" si="153"/>
        <v>0</v>
      </c>
      <c r="T278" s="39">
        <f t="shared" si="153"/>
        <v>0</v>
      </c>
      <c r="U278" s="39">
        <f t="shared" si="153"/>
        <v>0</v>
      </c>
      <c r="V278" s="39">
        <f t="shared" si="153"/>
        <v>0</v>
      </c>
      <c r="W278" s="39">
        <f t="shared" si="153"/>
        <v>0</v>
      </c>
      <c r="X278" s="39">
        <f t="shared" si="153"/>
        <v>0</v>
      </c>
      <c r="Y278" s="39">
        <f t="shared" si="153"/>
        <v>0</v>
      </c>
      <c r="Z278" s="39"/>
    </row>
    <row r="279" spans="1:26" ht="13.5" hidden="1" customHeight="1" x14ac:dyDescent="0.4">
      <c r="A279" s="24" t="s">
        <v>206</v>
      </c>
      <c r="B279" s="39">
        <f t="shared" ref="B279:Y279" si="154">B275-B278</f>
        <v>0</v>
      </c>
      <c r="C279" s="39">
        <f t="shared" si="154"/>
        <v>0</v>
      </c>
      <c r="D279" s="39">
        <f t="shared" si="154"/>
        <v>0</v>
      </c>
      <c r="E279" s="39">
        <f t="shared" si="154"/>
        <v>0</v>
      </c>
      <c r="F279" s="39">
        <f t="shared" si="154"/>
        <v>0</v>
      </c>
      <c r="G279" s="39">
        <f t="shared" si="154"/>
        <v>0</v>
      </c>
      <c r="H279" s="39">
        <f t="shared" si="154"/>
        <v>0</v>
      </c>
      <c r="I279" s="39">
        <f t="shared" si="154"/>
        <v>0</v>
      </c>
      <c r="J279" s="39">
        <f t="shared" si="154"/>
        <v>0</v>
      </c>
      <c r="K279" s="39">
        <f t="shared" si="154"/>
        <v>0</v>
      </c>
      <c r="L279" s="39">
        <f t="shared" si="154"/>
        <v>0</v>
      </c>
      <c r="M279" s="39">
        <f t="shared" si="154"/>
        <v>0</v>
      </c>
      <c r="N279" s="39">
        <f t="shared" si="154"/>
        <v>0</v>
      </c>
      <c r="O279" s="39">
        <f t="shared" si="154"/>
        <v>0</v>
      </c>
      <c r="P279" s="39">
        <f t="shared" si="154"/>
        <v>0</v>
      </c>
      <c r="Q279" s="39">
        <f t="shared" si="154"/>
        <v>0</v>
      </c>
      <c r="R279" s="39">
        <f t="shared" si="154"/>
        <v>0</v>
      </c>
      <c r="S279" s="39">
        <f t="shared" si="154"/>
        <v>0</v>
      </c>
      <c r="T279" s="39">
        <f t="shared" si="154"/>
        <v>0</v>
      </c>
      <c r="U279" s="39">
        <f t="shared" si="154"/>
        <v>0</v>
      </c>
      <c r="V279" s="39">
        <f t="shared" si="154"/>
        <v>0</v>
      </c>
      <c r="W279" s="39">
        <f t="shared" si="154"/>
        <v>0</v>
      </c>
      <c r="X279" s="39">
        <f t="shared" si="154"/>
        <v>0</v>
      </c>
      <c r="Y279" s="39">
        <f t="shared" si="154"/>
        <v>0</v>
      </c>
      <c r="Z279" s="39"/>
    </row>
    <row r="280" spans="1:26" ht="14.25" hidden="1" customHeight="1" x14ac:dyDescent="0.4">
      <c r="A280" s="148"/>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row>
    <row r="281" spans="1:26" ht="14.25" hidden="1" customHeight="1" thickBot="1" x14ac:dyDescent="0.45">
      <c r="A281" s="633" t="s">
        <v>189</v>
      </c>
      <c r="B281" s="634"/>
      <c r="C281" s="24"/>
    </row>
    <row r="282" spans="1:26" ht="14.25" hidden="1" customHeight="1" x14ac:dyDescent="0.4">
      <c r="A282" s="132" t="s">
        <v>246</v>
      </c>
      <c r="B282" s="71"/>
      <c r="C282" s="24"/>
    </row>
    <row r="283" spans="1:26" ht="14.25" hidden="1" customHeight="1" x14ac:dyDescent="0.4">
      <c r="A283" s="131" t="s">
        <v>239</v>
      </c>
      <c r="B283" s="70"/>
      <c r="C283" s="142">
        <v>0</v>
      </c>
      <c r="E283" t="s">
        <v>192</v>
      </c>
      <c r="F283" t="s">
        <v>240</v>
      </c>
    </row>
    <row r="284" spans="1:26" ht="14.25" hidden="1" customHeight="1" x14ac:dyDescent="0.4">
      <c r="A284" s="131" t="s">
        <v>194</v>
      </c>
      <c r="B284" s="70"/>
      <c r="C284" s="143">
        <v>7</v>
      </c>
      <c r="E284" t="s">
        <v>195</v>
      </c>
      <c r="F284" s="38">
        <v>60</v>
      </c>
    </row>
    <row r="285" spans="1:26" ht="14.25" hidden="1" customHeight="1" x14ac:dyDescent="0.4">
      <c r="A285" t="s">
        <v>241</v>
      </c>
      <c r="C285" s="144">
        <v>0.09</v>
      </c>
      <c r="E285" t="s">
        <v>197</v>
      </c>
      <c r="F285" s="145">
        <f>C285/12</f>
        <v>7.4999999999999997E-3</v>
      </c>
    </row>
    <row r="286" spans="1:26" ht="14.25" hidden="1" customHeight="1" x14ac:dyDescent="0.4">
      <c r="A286" t="s">
        <v>198</v>
      </c>
      <c r="C286" s="146" t="s">
        <v>247</v>
      </c>
      <c r="E286" t="s">
        <v>200</v>
      </c>
      <c r="F286" s="147">
        <f>PMT(F285,F284,-C283,0)</f>
        <v>0</v>
      </c>
    </row>
    <row r="287" spans="1:26" ht="15" hidden="1" customHeight="1" x14ac:dyDescent="0.4"/>
    <row r="288" spans="1:26" ht="14.25" hidden="1" customHeight="1" x14ac:dyDescent="0.4">
      <c r="A288" s="71" t="s">
        <v>172</v>
      </c>
      <c r="B288" s="71">
        <v>21</v>
      </c>
      <c r="C288" s="71">
        <v>22</v>
      </c>
      <c r="D288" s="71">
        <v>23</v>
      </c>
      <c r="E288" s="71">
        <v>24</v>
      </c>
      <c r="F288" s="71">
        <v>25</v>
      </c>
      <c r="G288" s="71">
        <v>26</v>
      </c>
      <c r="H288" s="71">
        <v>27</v>
      </c>
      <c r="I288" s="71">
        <v>28</v>
      </c>
      <c r="J288" s="71">
        <v>29</v>
      </c>
      <c r="K288" s="71">
        <v>30</v>
      </c>
      <c r="L288" s="71">
        <v>31</v>
      </c>
      <c r="M288" s="71">
        <v>32</v>
      </c>
      <c r="N288" s="71">
        <v>33</v>
      </c>
      <c r="O288" s="71">
        <v>34</v>
      </c>
      <c r="P288" s="71">
        <v>35</v>
      </c>
      <c r="Q288" s="71">
        <v>36</v>
      </c>
      <c r="R288" s="71">
        <v>37</v>
      </c>
      <c r="S288" s="71">
        <v>38</v>
      </c>
      <c r="T288" s="71">
        <v>39</v>
      </c>
      <c r="U288" s="71">
        <v>40</v>
      </c>
      <c r="V288" s="71">
        <v>41</v>
      </c>
      <c r="W288" s="71">
        <v>42</v>
      </c>
      <c r="X288" s="71">
        <v>43</v>
      </c>
      <c r="Y288" s="71">
        <v>44</v>
      </c>
      <c r="Z288" s="71"/>
    </row>
    <row r="289" spans="1:26" ht="16.5" hidden="1" customHeight="1" x14ac:dyDescent="0.4">
      <c r="A289" s="24" t="s">
        <v>202</v>
      </c>
      <c r="B289" s="39">
        <f>C283</f>
        <v>0</v>
      </c>
      <c r="C289" s="39">
        <f t="shared" ref="C289:Y289" si="155">B293</f>
        <v>0</v>
      </c>
      <c r="D289" s="39">
        <f t="shared" si="155"/>
        <v>0</v>
      </c>
      <c r="E289" s="39">
        <f t="shared" si="155"/>
        <v>0</v>
      </c>
      <c r="F289" s="39">
        <f t="shared" si="155"/>
        <v>0</v>
      </c>
      <c r="G289" s="39">
        <f t="shared" si="155"/>
        <v>0</v>
      </c>
      <c r="H289" s="39">
        <f t="shared" si="155"/>
        <v>0</v>
      </c>
      <c r="I289" s="39">
        <f t="shared" si="155"/>
        <v>0</v>
      </c>
      <c r="J289" s="39">
        <f t="shared" si="155"/>
        <v>0</v>
      </c>
      <c r="K289" s="39">
        <f t="shared" si="155"/>
        <v>0</v>
      </c>
      <c r="L289" s="39">
        <f t="shared" si="155"/>
        <v>0</v>
      </c>
      <c r="M289" s="39">
        <f t="shared" si="155"/>
        <v>0</v>
      </c>
      <c r="N289" s="39">
        <f t="shared" si="155"/>
        <v>0</v>
      </c>
      <c r="O289" s="39">
        <f t="shared" si="155"/>
        <v>0</v>
      </c>
      <c r="P289" s="39">
        <f t="shared" si="155"/>
        <v>0</v>
      </c>
      <c r="Q289" s="39">
        <f t="shared" si="155"/>
        <v>0</v>
      </c>
      <c r="R289" s="39">
        <f t="shared" si="155"/>
        <v>0</v>
      </c>
      <c r="S289" s="39">
        <f t="shared" si="155"/>
        <v>0</v>
      </c>
      <c r="T289" s="39">
        <f t="shared" si="155"/>
        <v>0</v>
      </c>
      <c r="U289" s="39">
        <f t="shared" si="155"/>
        <v>0</v>
      </c>
      <c r="V289" s="39">
        <f t="shared" si="155"/>
        <v>0</v>
      </c>
      <c r="W289" s="39">
        <f t="shared" si="155"/>
        <v>0</v>
      </c>
      <c r="X289" s="39">
        <f t="shared" si="155"/>
        <v>0</v>
      </c>
      <c r="Y289" s="39">
        <f t="shared" si="155"/>
        <v>0</v>
      </c>
      <c r="Z289" s="39"/>
    </row>
    <row r="290" spans="1:26" ht="14.25" hidden="1" customHeight="1" x14ac:dyDescent="0.4">
      <c r="A290" s="24" t="s">
        <v>203</v>
      </c>
      <c r="B290" s="39"/>
      <c r="C290" s="39"/>
      <c r="D290" s="39"/>
      <c r="E290" s="39"/>
      <c r="F290" s="39"/>
      <c r="G290" s="39"/>
      <c r="H290" s="39"/>
      <c r="I290" s="39"/>
      <c r="J290" s="39"/>
      <c r="K290" s="39"/>
      <c r="L290" s="39"/>
      <c r="M290" s="39">
        <f t="shared" ref="M290:Y290" si="156">-$F$286</f>
        <v>0</v>
      </c>
      <c r="N290" s="39">
        <f t="shared" si="156"/>
        <v>0</v>
      </c>
      <c r="O290" s="39">
        <f t="shared" si="156"/>
        <v>0</v>
      </c>
      <c r="P290" s="39">
        <f t="shared" si="156"/>
        <v>0</v>
      </c>
      <c r="Q290" s="39">
        <f t="shared" si="156"/>
        <v>0</v>
      </c>
      <c r="R290" s="39">
        <f t="shared" si="156"/>
        <v>0</v>
      </c>
      <c r="S290" s="39">
        <f t="shared" si="156"/>
        <v>0</v>
      </c>
      <c r="T290" s="39">
        <f t="shared" si="156"/>
        <v>0</v>
      </c>
      <c r="U290" s="39">
        <f t="shared" si="156"/>
        <v>0</v>
      </c>
      <c r="V290" s="39">
        <f t="shared" si="156"/>
        <v>0</v>
      </c>
      <c r="W290" s="39">
        <f t="shared" si="156"/>
        <v>0</v>
      </c>
      <c r="X290" s="39">
        <f t="shared" si="156"/>
        <v>0</v>
      </c>
      <c r="Y290" s="39">
        <f t="shared" si="156"/>
        <v>0</v>
      </c>
      <c r="Z290" s="39"/>
    </row>
    <row r="291" spans="1:26" ht="14.25" hidden="1" customHeight="1" x14ac:dyDescent="0.4">
      <c r="A291" s="24" t="s">
        <v>204</v>
      </c>
      <c r="B291" s="39">
        <f t="shared" ref="B291:Y291" si="157">-B289*$F$110</f>
        <v>0</v>
      </c>
      <c r="C291" s="39">
        <f t="shared" si="157"/>
        <v>0</v>
      </c>
      <c r="D291" s="39">
        <f t="shared" si="157"/>
        <v>0</v>
      </c>
      <c r="E291" s="39">
        <f t="shared" si="157"/>
        <v>0</v>
      </c>
      <c r="F291" s="39">
        <f t="shared" si="157"/>
        <v>0</v>
      </c>
      <c r="G291" s="39">
        <f t="shared" si="157"/>
        <v>0</v>
      </c>
      <c r="H291" s="39">
        <f t="shared" si="157"/>
        <v>0</v>
      </c>
      <c r="I291" s="39">
        <f t="shared" si="157"/>
        <v>0</v>
      </c>
      <c r="J291" s="39">
        <f t="shared" si="157"/>
        <v>0</v>
      </c>
      <c r="K291" s="39">
        <f t="shared" si="157"/>
        <v>0</v>
      </c>
      <c r="L291" s="39">
        <f t="shared" si="157"/>
        <v>0</v>
      </c>
      <c r="M291" s="39">
        <f t="shared" si="157"/>
        <v>0</v>
      </c>
      <c r="N291" s="39">
        <f t="shared" si="157"/>
        <v>0</v>
      </c>
      <c r="O291" s="39">
        <f t="shared" si="157"/>
        <v>0</v>
      </c>
      <c r="P291" s="39">
        <f t="shared" si="157"/>
        <v>0</v>
      </c>
      <c r="Q291" s="39">
        <f t="shared" si="157"/>
        <v>0</v>
      </c>
      <c r="R291" s="39">
        <f t="shared" si="157"/>
        <v>0</v>
      </c>
      <c r="S291" s="39">
        <f t="shared" si="157"/>
        <v>0</v>
      </c>
      <c r="T291" s="39">
        <f t="shared" si="157"/>
        <v>0</v>
      </c>
      <c r="U291" s="39">
        <f t="shared" si="157"/>
        <v>0</v>
      </c>
      <c r="V291" s="39">
        <f t="shared" si="157"/>
        <v>0</v>
      </c>
      <c r="W291" s="39">
        <f t="shared" si="157"/>
        <v>0</v>
      </c>
      <c r="X291" s="39">
        <f t="shared" si="157"/>
        <v>0</v>
      </c>
      <c r="Y291" s="39">
        <f t="shared" si="157"/>
        <v>0</v>
      </c>
      <c r="Z291" s="39"/>
    </row>
    <row r="292" spans="1:26" ht="14.25" hidden="1" customHeight="1" x14ac:dyDescent="0.4">
      <c r="A292" s="24" t="s">
        <v>243</v>
      </c>
      <c r="B292" s="39"/>
      <c r="C292" s="39"/>
      <c r="D292" s="39"/>
      <c r="E292" s="39"/>
      <c r="F292" s="39"/>
      <c r="G292" s="39"/>
      <c r="H292" s="39"/>
      <c r="I292" s="39"/>
      <c r="J292" s="39"/>
      <c r="K292" s="39"/>
      <c r="L292" s="39"/>
      <c r="M292" s="39">
        <f t="shared" ref="M292:Y292" si="158">-M290+M291</f>
        <v>0</v>
      </c>
      <c r="N292" s="39">
        <f t="shared" si="158"/>
        <v>0</v>
      </c>
      <c r="O292" s="39">
        <f t="shared" si="158"/>
        <v>0</v>
      </c>
      <c r="P292" s="39">
        <f t="shared" si="158"/>
        <v>0</v>
      </c>
      <c r="Q292" s="39">
        <f t="shared" si="158"/>
        <v>0</v>
      </c>
      <c r="R292" s="39">
        <f t="shared" si="158"/>
        <v>0</v>
      </c>
      <c r="S292" s="39">
        <f t="shared" si="158"/>
        <v>0</v>
      </c>
      <c r="T292" s="39">
        <f t="shared" si="158"/>
        <v>0</v>
      </c>
      <c r="U292" s="39">
        <f t="shared" si="158"/>
        <v>0</v>
      </c>
      <c r="V292" s="39">
        <f t="shared" si="158"/>
        <v>0</v>
      </c>
      <c r="W292" s="39">
        <f t="shared" si="158"/>
        <v>0</v>
      </c>
      <c r="X292" s="39">
        <f t="shared" si="158"/>
        <v>0</v>
      </c>
      <c r="Y292" s="39">
        <f t="shared" si="158"/>
        <v>0</v>
      </c>
      <c r="Z292" s="39"/>
    </row>
    <row r="293" spans="1:26" ht="13.5" hidden="1" customHeight="1" x14ac:dyDescent="0.4">
      <c r="A293" s="24" t="s">
        <v>206</v>
      </c>
      <c r="B293" s="39">
        <f t="shared" ref="B293:Y293" si="159">B289-B292</f>
        <v>0</v>
      </c>
      <c r="C293" s="39">
        <f t="shared" si="159"/>
        <v>0</v>
      </c>
      <c r="D293" s="39">
        <f t="shared" si="159"/>
        <v>0</v>
      </c>
      <c r="E293" s="39">
        <f t="shared" si="159"/>
        <v>0</v>
      </c>
      <c r="F293" s="39">
        <f t="shared" si="159"/>
        <v>0</v>
      </c>
      <c r="G293" s="39">
        <f t="shared" si="159"/>
        <v>0</v>
      </c>
      <c r="H293" s="39">
        <f t="shared" si="159"/>
        <v>0</v>
      </c>
      <c r="I293" s="39">
        <f t="shared" si="159"/>
        <v>0</v>
      </c>
      <c r="J293" s="39">
        <f t="shared" si="159"/>
        <v>0</v>
      </c>
      <c r="K293" s="39">
        <f t="shared" si="159"/>
        <v>0</v>
      </c>
      <c r="L293" s="39">
        <f t="shared" si="159"/>
        <v>0</v>
      </c>
      <c r="M293" s="39">
        <f t="shared" si="159"/>
        <v>0</v>
      </c>
      <c r="N293" s="39">
        <f t="shared" si="159"/>
        <v>0</v>
      </c>
      <c r="O293" s="39">
        <f t="shared" si="159"/>
        <v>0</v>
      </c>
      <c r="P293" s="39">
        <f t="shared" si="159"/>
        <v>0</v>
      </c>
      <c r="Q293" s="39">
        <f t="shared" si="159"/>
        <v>0</v>
      </c>
      <c r="R293" s="39">
        <f t="shared" si="159"/>
        <v>0</v>
      </c>
      <c r="S293" s="39">
        <f t="shared" si="159"/>
        <v>0</v>
      </c>
      <c r="T293" s="39">
        <f t="shared" si="159"/>
        <v>0</v>
      </c>
      <c r="U293" s="39">
        <f t="shared" si="159"/>
        <v>0</v>
      </c>
      <c r="V293" s="39">
        <f t="shared" si="159"/>
        <v>0</v>
      </c>
      <c r="W293" s="39">
        <f t="shared" si="159"/>
        <v>0</v>
      </c>
      <c r="X293" s="39">
        <f t="shared" si="159"/>
        <v>0</v>
      </c>
      <c r="Y293" s="39">
        <f t="shared" si="159"/>
        <v>0</v>
      </c>
      <c r="Z293" s="39"/>
    </row>
    <row r="294" spans="1:26" ht="14.25" hidden="1" customHeight="1" x14ac:dyDescent="0.4">
      <c r="A294" s="148"/>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row>
    <row r="295" spans="1:26" ht="14.25" hidden="1" customHeight="1" thickBot="1" x14ac:dyDescent="0.45">
      <c r="A295" s="633" t="s">
        <v>189</v>
      </c>
      <c r="B295" s="634"/>
      <c r="C295" s="24"/>
    </row>
    <row r="296" spans="1:26" ht="14.25" hidden="1" customHeight="1" x14ac:dyDescent="0.4">
      <c r="A296" s="132" t="s">
        <v>248</v>
      </c>
      <c r="B296" s="71"/>
      <c r="C296" s="24"/>
    </row>
    <row r="297" spans="1:26" ht="14.25" hidden="1" customHeight="1" x14ac:dyDescent="0.4">
      <c r="A297" s="131" t="s">
        <v>191</v>
      </c>
      <c r="B297" s="70"/>
      <c r="C297" s="142">
        <v>0</v>
      </c>
      <c r="E297" t="s">
        <v>192</v>
      </c>
      <c r="F297" t="s">
        <v>240</v>
      </c>
    </row>
    <row r="298" spans="1:26" ht="14.25" hidden="1" customHeight="1" x14ac:dyDescent="0.4">
      <c r="A298" s="131" t="s">
        <v>194</v>
      </c>
      <c r="B298" s="70"/>
      <c r="C298" s="143">
        <v>7</v>
      </c>
      <c r="E298" t="s">
        <v>195</v>
      </c>
      <c r="F298" s="38">
        <v>60</v>
      </c>
    </row>
    <row r="299" spans="1:26" ht="14.25" hidden="1" customHeight="1" x14ac:dyDescent="0.4">
      <c r="A299" t="s">
        <v>241</v>
      </c>
      <c r="C299" s="144">
        <v>0.09</v>
      </c>
      <c r="E299" t="s">
        <v>197</v>
      </c>
      <c r="F299" s="145">
        <f>C299/12</f>
        <v>7.4999999999999997E-3</v>
      </c>
    </row>
    <row r="300" spans="1:26" ht="14.25" hidden="1" customHeight="1" x14ac:dyDescent="0.4">
      <c r="A300" t="s">
        <v>198</v>
      </c>
      <c r="C300" s="146" t="s">
        <v>249</v>
      </c>
      <c r="E300" t="s">
        <v>200</v>
      </c>
      <c r="F300" s="147">
        <f>PMT(F299,F298,-C297,0)</f>
        <v>0</v>
      </c>
    </row>
    <row r="301" spans="1:26" ht="15" hidden="1" customHeight="1" x14ac:dyDescent="0.4"/>
    <row r="302" spans="1:26" ht="14.25" hidden="1" customHeight="1" x14ac:dyDescent="0.4">
      <c r="A302" s="71" t="s">
        <v>172</v>
      </c>
      <c r="B302" s="71">
        <v>22</v>
      </c>
      <c r="C302" s="71">
        <v>23</v>
      </c>
      <c r="D302" s="71">
        <v>24</v>
      </c>
      <c r="E302" s="71">
        <v>25</v>
      </c>
      <c r="F302" s="71">
        <v>26</v>
      </c>
      <c r="G302" s="71">
        <v>27</v>
      </c>
      <c r="H302" s="71">
        <v>28</v>
      </c>
      <c r="I302" s="71">
        <v>29</v>
      </c>
      <c r="J302" s="71">
        <v>30</v>
      </c>
      <c r="K302" s="71">
        <v>31</v>
      </c>
      <c r="L302" s="71">
        <v>32</v>
      </c>
      <c r="M302" s="71">
        <v>33</v>
      </c>
      <c r="N302" s="71">
        <v>34</v>
      </c>
      <c r="O302" s="71">
        <v>35</v>
      </c>
      <c r="P302" s="71">
        <v>36</v>
      </c>
      <c r="Q302" s="71">
        <v>37</v>
      </c>
      <c r="R302" s="71">
        <v>38</v>
      </c>
      <c r="S302" s="71">
        <v>39</v>
      </c>
      <c r="T302" s="71">
        <v>40</v>
      </c>
      <c r="U302" s="71">
        <v>41</v>
      </c>
      <c r="V302" s="71">
        <v>42</v>
      </c>
      <c r="W302" s="71">
        <v>43</v>
      </c>
      <c r="X302" s="71">
        <v>44</v>
      </c>
      <c r="Y302" s="71">
        <v>45</v>
      </c>
      <c r="Z302" s="71"/>
    </row>
    <row r="303" spans="1:26" ht="16.5" hidden="1" customHeight="1" x14ac:dyDescent="0.4">
      <c r="A303" s="24" t="s">
        <v>202</v>
      </c>
      <c r="B303" s="39">
        <f>C297</f>
        <v>0</v>
      </c>
      <c r="C303" s="39">
        <f t="shared" ref="C303:Y303" si="160">B307</f>
        <v>0</v>
      </c>
      <c r="D303" s="39">
        <f t="shared" si="160"/>
        <v>0</v>
      </c>
      <c r="E303" s="39">
        <f t="shared" si="160"/>
        <v>0</v>
      </c>
      <c r="F303" s="39">
        <f t="shared" si="160"/>
        <v>0</v>
      </c>
      <c r="G303" s="39">
        <f t="shared" si="160"/>
        <v>0</v>
      </c>
      <c r="H303" s="39">
        <f t="shared" si="160"/>
        <v>0</v>
      </c>
      <c r="I303" s="39">
        <f t="shared" si="160"/>
        <v>0</v>
      </c>
      <c r="J303" s="39">
        <f t="shared" si="160"/>
        <v>0</v>
      </c>
      <c r="K303" s="39">
        <f t="shared" si="160"/>
        <v>0</v>
      </c>
      <c r="L303" s="39">
        <f t="shared" si="160"/>
        <v>0</v>
      </c>
      <c r="M303" s="39">
        <f t="shared" si="160"/>
        <v>0</v>
      </c>
      <c r="N303" s="39">
        <f t="shared" si="160"/>
        <v>0</v>
      </c>
      <c r="O303" s="39">
        <f t="shared" si="160"/>
        <v>0</v>
      </c>
      <c r="P303" s="39">
        <f t="shared" si="160"/>
        <v>0</v>
      </c>
      <c r="Q303" s="39">
        <f t="shared" si="160"/>
        <v>0</v>
      </c>
      <c r="R303" s="39">
        <f t="shared" si="160"/>
        <v>0</v>
      </c>
      <c r="S303" s="39">
        <f t="shared" si="160"/>
        <v>0</v>
      </c>
      <c r="T303" s="39">
        <f t="shared" si="160"/>
        <v>0</v>
      </c>
      <c r="U303" s="39">
        <f t="shared" si="160"/>
        <v>0</v>
      </c>
      <c r="V303" s="39">
        <f t="shared" si="160"/>
        <v>0</v>
      </c>
      <c r="W303" s="39">
        <f t="shared" si="160"/>
        <v>0</v>
      </c>
      <c r="X303" s="39">
        <f t="shared" si="160"/>
        <v>0</v>
      </c>
      <c r="Y303" s="39">
        <f t="shared" si="160"/>
        <v>0</v>
      </c>
      <c r="Z303" s="39"/>
    </row>
    <row r="304" spans="1:26" ht="14.25" hidden="1" customHeight="1" x14ac:dyDescent="0.4">
      <c r="A304" s="24" t="s">
        <v>203</v>
      </c>
      <c r="B304" s="39"/>
      <c r="C304" s="39"/>
      <c r="D304" s="39"/>
      <c r="E304" s="39"/>
      <c r="F304" s="39"/>
      <c r="G304" s="39"/>
      <c r="H304" s="39"/>
      <c r="I304" s="39"/>
      <c r="J304" s="39"/>
      <c r="K304" s="39"/>
      <c r="L304" s="39"/>
      <c r="M304" s="39">
        <f t="shared" ref="M304:Y304" si="161">-$F$300</f>
        <v>0</v>
      </c>
      <c r="N304" s="39">
        <f t="shared" si="161"/>
        <v>0</v>
      </c>
      <c r="O304" s="39">
        <f t="shared" si="161"/>
        <v>0</v>
      </c>
      <c r="P304" s="39">
        <f t="shared" si="161"/>
        <v>0</v>
      </c>
      <c r="Q304" s="39">
        <f t="shared" si="161"/>
        <v>0</v>
      </c>
      <c r="R304" s="39">
        <f t="shared" si="161"/>
        <v>0</v>
      </c>
      <c r="S304" s="39">
        <f t="shared" si="161"/>
        <v>0</v>
      </c>
      <c r="T304" s="39">
        <f t="shared" si="161"/>
        <v>0</v>
      </c>
      <c r="U304" s="39">
        <f t="shared" si="161"/>
        <v>0</v>
      </c>
      <c r="V304" s="39">
        <f t="shared" si="161"/>
        <v>0</v>
      </c>
      <c r="W304" s="39">
        <f t="shared" si="161"/>
        <v>0</v>
      </c>
      <c r="X304" s="39">
        <f t="shared" si="161"/>
        <v>0</v>
      </c>
      <c r="Y304" s="39">
        <f t="shared" si="161"/>
        <v>0</v>
      </c>
      <c r="Z304" s="39"/>
    </row>
    <row r="305" spans="1:26" ht="14.25" hidden="1" customHeight="1" x14ac:dyDescent="0.4">
      <c r="A305" s="24" t="s">
        <v>204</v>
      </c>
      <c r="B305" s="39">
        <f t="shared" ref="B305:Y305" si="162">-B303*$F$110</f>
        <v>0</v>
      </c>
      <c r="C305" s="39">
        <f t="shared" si="162"/>
        <v>0</v>
      </c>
      <c r="D305" s="39">
        <f t="shared" si="162"/>
        <v>0</v>
      </c>
      <c r="E305" s="39">
        <f t="shared" si="162"/>
        <v>0</v>
      </c>
      <c r="F305" s="39">
        <f t="shared" si="162"/>
        <v>0</v>
      </c>
      <c r="G305" s="39">
        <f t="shared" si="162"/>
        <v>0</v>
      </c>
      <c r="H305" s="39">
        <f t="shared" si="162"/>
        <v>0</v>
      </c>
      <c r="I305" s="39">
        <f t="shared" si="162"/>
        <v>0</v>
      </c>
      <c r="J305" s="39">
        <f t="shared" si="162"/>
        <v>0</v>
      </c>
      <c r="K305" s="39">
        <f t="shared" si="162"/>
        <v>0</v>
      </c>
      <c r="L305" s="39">
        <f t="shared" si="162"/>
        <v>0</v>
      </c>
      <c r="M305" s="39">
        <f t="shared" si="162"/>
        <v>0</v>
      </c>
      <c r="N305" s="39">
        <f t="shared" si="162"/>
        <v>0</v>
      </c>
      <c r="O305" s="39">
        <f t="shared" si="162"/>
        <v>0</v>
      </c>
      <c r="P305" s="39">
        <f t="shared" si="162"/>
        <v>0</v>
      </c>
      <c r="Q305" s="39">
        <f t="shared" si="162"/>
        <v>0</v>
      </c>
      <c r="R305" s="39">
        <f t="shared" si="162"/>
        <v>0</v>
      </c>
      <c r="S305" s="39">
        <f t="shared" si="162"/>
        <v>0</v>
      </c>
      <c r="T305" s="39">
        <f t="shared" si="162"/>
        <v>0</v>
      </c>
      <c r="U305" s="39">
        <f t="shared" si="162"/>
        <v>0</v>
      </c>
      <c r="V305" s="39">
        <f t="shared" si="162"/>
        <v>0</v>
      </c>
      <c r="W305" s="39">
        <f t="shared" si="162"/>
        <v>0</v>
      </c>
      <c r="X305" s="39">
        <f t="shared" si="162"/>
        <v>0</v>
      </c>
      <c r="Y305" s="39">
        <f t="shared" si="162"/>
        <v>0</v>
      </c>
      <c r="Z305" s="39"/>
    </row>
    <row r="306" spans="1:26" ht="14.25" hidden="1" customHeight="1" x14ac:dyDescent="0.4">
      <c r="A306" s="24" t="s">
        <v>205</v>
      </c>
      <c r="B306" s="39"/>
      <c r="C306" s="39"/>
      <c r="D306" s="39"/>
      <c r="E306" s="39"/>
      <c r="F306" s="39"/>
      <c r="G306" s="39"/>
      <c r="H306" s="39"/>
      <c r="I306" s="39"/>
      <c r="J306" s="39"/>
      <c r="K306" s="39"/>
      <c r="L306" s="39"/>
      <c r="M306" s="39">
        <f t="shared" ref="M306:Y306" si="163">-M304+M305</f>
        <v>0</v>
      </c>
      <c r="N306" s="39">
        <f t="shared" si="163"/>
        <v>0</v>
      </c>
      <c r="O306" s="39">
        <f t="shared" si="163"/>
        <v>0</v>
      </c>
      <c r="P306" s="39">
        <f t="shared" si="163"/>
        <v>0</v>
      </c>
      <c r="Q306" s="39">
        <f t="shared" si="163"/>
        <v>0</v>
      </c>
      <c r="R306" s="39">
        <f t="shared" si="163"/>
        <v>0</v>
      </c>
      <c r="S306" s="39">
        <f t="shared" si="163"/>
        <v>0</v>
      </c>
      <c r="T306" s="39">
        <f t="shared" si="163"/>
        <v>0</v>
      </c>
      <c r="U306" s="39">
        <f t="shared" si="163"/>
        <v>0</v>
      </c>
      <c r="V306" s="39">
        <f t="shared" si="163"/>
        <v>0</v>
      </c>
      <c r="W306" s="39">
        <f t="shared" si="163"/>
        <v>0</v>
      </c>
      <c r="X306" s="39">
        <f t="shared" si="163"/>
        <v>0</v>
      </c>
      <c r="Y306" s="39">
        <f t="shared" si="163"/>
        <v>0</v>
      </c>
      <c r="Z306" s="39"/>
    </row>
    <row r="307" spans="1:26" ht="13.5" hidden="1" customHeight="1" x14ac:dyDescent="0.4">
      <c r="A307" s="24" t="s">
        <v>206</v>
      </c>
      <c r="B307" s="39">
        <f t="shared" ref="B307:Y307" si="164">B303-B306</f>
        <v>0</v>
      </c>
      <c r="C307" s="39">
        <f t="shared" si="164"/>
        <v>0</v>
      </c>
      <c r="D307" s="39">
        <f t="shared" si="164"/>
        <v>0</v>
      </c>
      <c r="E307" s="39">
        <f t="shared" si="164"/>
        <v>0</v>
      </c>
      <c r="F307" s="39">
        <f t="shared" si="164"/>
        <v>0</v>
      </c>
      <c r="G307" s="39">
        <f t="shared" si="164"/>
        <v>0</v>
      </c>
      <c r="H307" s="39">
        <f t="shared" si="164"/>
        <v>0</v>
      </c>
      <c r="I307" s="39">
        <f t="shared" si="164"/>
        <v>0</v>
      </c>
      <c r="J307" s="39">
        <f t="shared" si="164"/>
        <v>0</v>
      </c>
      <c r="K307" s="39">
        <f t="shared" si="164"/>
        <v>0</v>
      </c>
      <c r="L307" s="39">
        <f t="shared" si="164"/>
        <v>0</v>
      </c>
      <c r="M307" s="39">
        <f t="shared" si="164"/>
        <v>0</v>
      </c>
      <c r="N307" s="39">
        <f t="shared" si="164"/>
        <v>0</v>
      </c>
      <c r="O307" s="39">
        <f t="shared" si="164"/>
        <v>0</v>
      </c>
      <c r="P307" s="39">
        <f t="shared" si="164"/>
        <v>0</v>
      </c>
      <c r="Q307" s="39">
        <f t="shared" si="164"/>
        <v>0</v>
      </c>
      <c r="R307" s="39">
        <f t="shared" si="164"/>
        <v>0</v>
      </c>
      <c r="S307" s="39">
        <f t="shared" si="164"/>
        <v>0</v>
      </c>
      <c r="T307" s="39">
        <f t="shared" si="164"/>
        <v>0</v>
      </c>
      <c r="U307" s="39">
        <f t="shared" si="164"/>
        <v>0</v>
      </c>
      <c r="V307" s="39">
        <f t="shared" si="164"/>
        <v>0</v>
      </c>
      <c r="W307" s="39">
        <f t="shared" si="164"/>
        <v>0</v>
      </c>
      <c r="X307" s="39">
        <f t="shared" si="164"/>
        <v>0</v>
      </c>
      <c r="Y307" s="39">
        <f t="shared" si="164"/>
        <v>0</v>
      </c>
      <c r="Z307" s="39"/>
    </row>
    <row r="308" spans="1:26" ht="14.25" hidden="1" customHeight="1" x14ac:dyDescent="0.4">
      <c r="A308" s="148"/>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row>
    <row r="309" spans="1:26" ht="14.25" hidden="1" customHeight="1" thickBot="1" x14ac:dyDescent="0.45">
      <c r="A309" s="633" t="s">
        <v>189</v>
      </c>
      <c r="B309" s="634"/>
      <c r="C309" s="24"/>
    </row>
    <row r="310" spans="1:26" ht="14.25" hidden="1" customHeight="1" x14ac:dyDescent="0.4">
      <c r="A310" s="132" t="s">
        <v>250</v>
      </c>
      <c r="B310" s="71"/>
      <c r="C310" s="24"/>
    </row>
    <row r="311" spans="1:26" ht="14.25" hidden="1" customHeight="1" x14ac:dyDescent="0.4">
      <c r="A311" s="131" t="s">
        <v>191</v>
      </c>
      <c r="B311" s="70"/>
      <c r="C311" s="142">
        <v>0</v>
      </c>
      <c r="E311" t="s">
        <v>192</v>
      </c>
      <c r="F311" t="s">
        <v>240</v>
      </c>
    </row>
    <row r="312" spans="1:26" ht="14.25" hidden="1" customHeight="1" x14ac:dyDescent="0.4">
      <c r="A312" s="131" t="s">
        <v>194</v>
      </c>
      <c r="B312" s="70"/>
      <c r="C312" s="143">
        <v>7</v>
      </c>
      <c r="E312" t="s">
        <v>195</v>
      </c>
      <c r="F312" s="38">
        <v>60</v>
      </c>
    </row>
    <row r="313" spans="1:26" ht="14.25" hidden="1" customHeight="1" x14ac:dyDescent="0.4">
      <c r="A313" t="s">
        <v>241</v>
      </c>
      <c r="C313" s="144">
        <v>0.09</v>
      </c>
      <c r="E313" t="s">
        <v>197</v>
      </c>
      <c r="F313" s="145">
        <f>C313/12</f>
        <v>7.4999999999999997E-3</v>
      </c>
    </row>
    <row r="314" spans="1:26" ht="14.25" hidden="1" customHeight="1" x14ac:dyDescent="0.4">
      <c r="A314" t="s">
        <v>198</v>
      </c>
      <c r="C314" s="146" t="s">
        <v>251</v>
      </c>
      <c r="E314" t="s">
        <v>200</v>
      </c>
      <c r="F314" s="147">
        <f>PMT(F313,F312,-C311,0)</f>
        <v>0</v>
      </c>
    </row>
    <row r="315" spans="1:26" ht="15" hidden="1" customHeight="1" x14ac:dyDescent="0.4"/>
    <row r="316" spans="1:26" ht="14.25" hidden="1" customHeight="1" x14ac:dyDescent="0.4">
      <c r="A316" s="71" t="s">
        <v>172</v>
      </c>
      <c r="B316" s="71">
        <v>23</v>
      </c>
      <c r="C316" s="71">
        <v>24</v>
      </c>
      <c r="D316" s="71">
        <v>25</v>
      </c>
      <c r="E316" s="71">
        <v>26</v>
      </c>
      <c r="F316" s="71">
        <v>27</v>
      </c>
      <c r="G316" s="71">
        <v>28</v>
      </c>
      <c r="H316" s="71">
        <v>29</v>
      </c>
      <c r="I316" s="71">
        <v>30</v>
      </c>
      <c r="J316" s="71">
        <v>31</v>
      </c>
      <c r="K316" s="71">
        <v>32</v>
      </c>
      <c r="L316" s="71">
        <v>33</v>
      </c>
      <c r="M316" s="71">
        <v>34</v>
      </c>
      <c r="N316" s="71">
        <v>35</v>
      </c>
      <c r="O316" s="71">
        <v>36</v>
      </c>
      <c r="P316" s="71">
        <v>37</v>
      </c>
      <c r="Q316" s="71">
        <v>38</v>
      </c>
      <c r="R316" s="71">
        <v>39</v>
      </c>
      <c r="S316" s="71">
        <v>40</v>
      </c>
      <c r="T316" s="71">
        <v>41</v>
      </c>
      <c r="U316" s="71">
        <v>42</v>
      </c>
      <c r="V316" s="71">
        <v>43</v>
      </c>
      <c r="W316" s="71">
        <v>44</v>
      </c>
      <c r="X316" s="71">
        <v>45</v>
      </c>
      <c r="Y316" s="71">
        <v>46</v>
      </c>
      <c r="Z316" s="71"/>
    </row>
    <row r="317" spans="1:26" ht="16.5" hidden="1" customHeight="1" x14ac:dyDescent="0.4">
      <c r="A317" s="24" t="s">
        <v>202</v>
      </c>
      <c r="B317" s="39">
        <f>C311</f>
        <v>0</v>
      </c>
      <c r="C317" s="39">
        <f t="shared" ref="C317:Y317" si="165">B321</f>
        <v>0</v>
      </c>
      <c r="D317" s="39">
        <f t="shared" si="165"/>
        <v>0</v>
      </c>
      <c r="E317" s="39">
        <f t="shared" si="165"/>
        <v>0</v>
      </c>
      <c r="F317" s="39">
        <f t="shared" si="165"/>
        <v>0</v>
      </c>
      <c r="G317" s="39">
        <f t="shared" si="165"/>
        <v>0</v>
      </c>
      <c r="H317" s="39">
        <f t="shared" si="165"/>
        <v>0</v>
      </c>
      <c r="I317" s="39">
        <f t="shared" si="165"/>
        <v>0</v>
      </c>
      <c r="J317" s="39">
        <f t="shared" si="165"/>
        <v>0</v>
      </c>
      <c r="K317" s="39">
        <f t="shared" si="165"/>
        <v>0</v>
      </c>
      <c r="L317" s="39">
        <f t="shared" si="165"/>
        <v>0</v>
      </c>
      <c r="M317" s="39">
        <f t="shared" si="165"/>
        <v>0</v>
      </c>
      <c r="N317" s="39">
        <f t="shared" si="165"/>
        <v>0</v>
      </c>
      <c r="O317" s="39">
        <f t="shared" si="165"/>
        <v>0</v>
      </c>
      <c r="P317" s="39">
        <f t="shared" si="165"/>
        <v>0</v>
      </c>
      <c r="Q317" s="39">
        <f t="shared" si="165"/>
        <v>0</v>
      </c>
      <c r="R317" s="39">
        <f t="shared" si="165"/>
        <v>0</v>
      </c>
      <c r="S317" s="39">
        <f t="shared" si="165"/>
        <v>0</v>
      </c>
      <c r="T317" s="39">
        <f t="shared" si="165"/>
        <v>0</v>
      </c>
      <c r="U317" s="39">
        <f t="shared" si="165"/>
        <v>0</v>
      </c>
      <c r="V317" s="39">
        <f t="shared" si="165"/>
        <v>0</v>
      </c>
      <c r="W317" s="39">
        <f t="shared" si="165"/>
        <v>0</v>
      </c>
      <c r="X317" s="39">
        <f t="shared" si="165"/>
        <v>0</v>
      </c>
      <c r="Y317" s="39">
        <f t="shared" si="165"/>
        <v>0</v>
      </c>
      <c r="Z317" s="39"/>
    </row>
    <row r="318" spans="1:26" ht="14.25" hidden="1" customHeight="1" x14ac:dyDescent="0.4">
      <c r="A318" s="24" t="s">
        <v>203</v>
      </c>
      <c r="B318" s="39"/>
      <c r="C318" s="39"/>
      <c r="D318" s="39"/>
      <c r="E318" s="39"/>
      <c r="F318" s="39"/>
      <c r="G318" s="39"/>
      <c r="H318" s="39"/>
      <c r="I318" s="39"/>
      <c r="J318" s="39"/>
      <c r="K318" s="39"/>
      <c r="L318" s="39"/>
      <c r="M318" s="39">
        <f t="shared" ref="M318:Y318" si="166">-$F$314</f>
        <v>0</v>
      </c>
      <c r="N318" s="39">
        <f t="shared" si="166"/>
        <v>0</v>
      </c>
      <c r="O318" s="39">
        <f t="shared" si="166"/>
        <v>0</v>
      </c>
      <c r="P318" s="39">
        <f t="shared" si="166"/>
        <v>0</v>
      </c>
      <c r="Q318" s="39">
        <f t="shared" si="166"/>
        <v>0</v>
      </c>
      <c r="R318" s="39">
        <f t="shared" si="166"/>
        <v>0</v>
      </c>
      <c r="S318" s="39">
        <f t="shared" si="166"/>
        <v>0</v>
      </c>
      <c r="T318" s="39">
        <f t="shared" si="166"/>
        <v>0</v>
      </c>
      <c r="U318" s="39">
        <f t="shared" si="166"/>
        <v>0</v>
      </c>
      <c r="V318" s="39">
        <f t="shared" si="166"/>
        <v>0</v>
      </c>
      <c r="W318" s="39">
        <f t="shared" si="166"/>
        <v>0</v>
      </c>
      <c r="X318" s="39">
        <f t="shared" si="166"/>
        <v>0</v>
      </c>
      <c r="Y318" s="39">
        <f t="shared" si="166"/>
        <v>0</v>
      </c>
      <c r="Z318" s="39"/>
    </row>
    <row r="319" spans="1:26" ht="14.25" hidden="1" customHeight="1" x14ac:dyDescent="0.4">
      <c r="A319" s="24" t="s">
        <v>204</v>
      </c>
      <c r="B319" s="39">
        <f t="shared" ref="B319:Y319" si="167">-B317*$F$110</f>
        <v>0</v>
      </c>
      <c r="C319" s="39">
        <f t="shared" si="167"/>
        <v>0</v>
      </c>
      <c r="D319" s="39">
        <f t="shared" si="167"/>
        <v>0</v>
      </c>
      <c r="E319" s="39">
        <f t="shared" si="167"/>
        <v>0</v>
      </c>
      <c r="F319" s="39">
        <f t="shared" si="167"/>
        <v>0</v>
      </c>
      <c r="G319" s="39">
        <f t="shared" si="167"/>
        <v>0</v>
      </c>
      <c r="H319" s="39">
        <f t="shared" si="167"/>
        <v>0</v>
      </c>
      <c r="I319" s="39">
        <f t="shared" si="167"/>
        <v>0</v>
      </c>
      <c r="J319" s="39">
        <f t="shared" si="167"/>
        <v>0</v>
      </c>
      <c r="K319" s="39">
        <f t="shared" si="167"/>
        <v>0</v>
      </c>
      <c r="L319" s="39">
        <f t="shared" si="167"/>
        <v>0</v>
      </c>
      <c r="M319" s="39">
        <f t="shared" si="167"/>
        <v>0</v>
      </c>
      <c r="N319" s="39">
        <f t="shared" si="167"/>
        <v>0</v>
      </c>
      <c r="O319" s="39">
        <f t="shared" si="167"/>
        <v>0</v>
      </c>
      <c r="P319" s="39">
        <f t="shared" si="167"/>
        <v>0</v>
      </c>
      <c r="Q319" s="39">
        <f t="shared" si="167"/>
        <v>0</v>
      </c>
      <c r="R319" s="39">
        <f t="shared" si="167"/>
        <v>0</v>
      </c>
      <c r="S319" s="39">
        <f t="shared" si="167"/>
        <v>0</v>
      </c>
      <c r="T319" s="39">
        <f t="shared" si="167"/>
        <v>0</v>
      </c>
      <c r="U319" s="39">
        <f t="shared" si="167"/>
        <v>0</v>
      </c>
      <c r="V319" s="39">
        <f t="shared" si="167"/>
        <v>0</v>
      </c>
      <c r="W319" s="39">
        <f t="shared" si="167"/>
        <v>0</v>
      </c>
      <c r="X319" s="39">
        <f t="shared" si="167"/>
        <v>0</v>
      </c>
      <c r="Y319" s="39">
        <f t="shared" si="167"/>
        <v>0</v>
      </c>
      <c r="Z319" s="39"/>
    </row>
    <row r="320" spans="1:26" ht="14.25" hidden="1" customHeight="1" x14ac:dyDescent="0.4">
      <c r="A320" s="24" t="s">
        <v>205</v>
      </c>
      <c r="B320" s="39"/>
      <c r="C320" s="39"/>
      <c r="D320" s="39"/>
      <c r="E320" s="39"/>
      <c r="F320" s="39"/>
      <c r="G320" s="39"/>
      <c r="H320" s="39"/>
      <c r="I320" s="39"/>
      <c r="J320" s="39"/>
      <c r="K320" s="39"/>
      <c r="L320" s="39"/>
      <c r="M320" s="39">
        <f t="shared" ref="M320:Y320" si="168">-M318+M319</f>
        <v>0</v>
      </c>
      <c r="N320" s="39">
        <f t="shared" si="168"/>
        <v>0</v>
      </c>
      <c r="O320" s="39">
        <f t="shared" si="168"/>
        <v>0</v>
      </c>
      <c r="P320" s="39">
        <f t="shared" si="168"/>
        <v>0</v>
      </c>
      <c r="Q320" s="39">
        <f t="shared" si="168"/>
        <v>0</v>
      </c>
      <c r="R320" s="39">
        <f t="shared" si="168"/>
        <v>0</v>
      </c>
      <c r="S320" s="39">
        <f t="shared" si="168"/>
        <v>0</v>
      </c>
      <c r="T320" s="39">
        <f t="shared" si="168"/>
        <v>0</v>
      </c>
      <c r="U320" s="39">
        <f t="shared" si="168"/>
        <v>0</v>
      </c>
      <c r="V320" s="39">
        <f t="shared" si="168"/>
        <v>0</v>
      </c>
      <c r="W320" s="39">
        <f t="shared" si="168"/>
        <v>0</v>
      </c>
      <c r="X320" s="39">
        <f t="shared" si="168"/>
        <v>0</v>
      </c>
      <c r="Y320" s="39">
        <f t="shared" si="168"/>
        <v>0</v>
      </c>
      <c r="Z320" s="39"/>
    </row>
    <row r="321" spans="1:26" ht="13.5" hidden="1" customHeight="1" x14ac:dyDescent="0.4">
      <c r="A321" s="24" t="s">
        <v>206</v>
      </c>
      <c r="B321" s="39">
        <f t="shared" ref="B321:Y321" si="169">B317-B320</f>
        <v>0</v>
      </c>
      <c r="C321" s="39">
        <f t="shared" si="169"/>
        <v>0</v>
      </c>
      <c r="D321" s="39">
        <f t="shared" si="169"/>
        <v>0</v>
      </c>
      <c r="E321" s="39">
        <f t="shared" si="169"/>
        <v>0</v>
      </c>
      <c r="F321" s="39">
        <f t="shared" si="169"/>
        <v>0</v>
      </c>
      <c r="G321" s="39">
        <f t="shared" si="169"/>
        <v>0</v>
      </c>
      <c r="H321" s="39">
        <f t="shared" si="169"/>
        <v>0</v>
      </c>
      <c r="I321" s="39">
        <f t="shared" si="169"/>
        <v>0</v>
      </c>
      <c r="J321" s="39">
        <f t="shared" si="169"/>
        <v>0</v>
      </c>
      <c r="K321" s="39">
        <f t="shared" si="169"/>
        <v>0</v>
      </c>
      <c r="L321" s="39">
        <f t="shared" si="169"/>
        <v>0</v>
      </c>
      <c r="M321" s="39">
        <f t="shared" si="169"/>
        <v>0</v>
      </c>
      <c r="N321" s="39">
        <f t="shared" si="169"/>
        <v>0</v>
      </c>
      <c r="O321" s="39">
        <f t="shared" si="169"/>
        <v>0</v>
      </c>
      <c r="P321" s="39">
        <f t="shared" si="169"/>
        <v>0</v>
      </c>
      <c r="Q321" s="39">
        <f t="shared" si="169"/>
        <v>0</v>
      </c>
      <c r="R321" s="39">
        <f t="shared" si="169"/>
        <v>0</v>
      </c>
      <c r="S321" s="39">
        <f t="shared" si="169"/>
        <v>0</v>
      </c>
      <c r="T321" s="39">
        <f t="shared" si="169"/>
        <v>0</v>
      </c>
      <c r="U321" s="39">
        <f t="shared" si="169"/>
        <v>0</v>
      </c>
      <c r="V321" s="39">
        <f t="shared" si="169"/>
        <v>0</v>
      </c>
      <c r="W321" s="39">
        <f t="shared" si="169"/>
        <v>0</v>
      </c>
      <c r="X321" s="39">
        <f t="shared" si="169"/>
        <v>0</v>
      </c>
      <c r="Y321" s="39">
        <f t="shared" si="169"/>
        <v>0</v>
      </c>
      <c r="Z321" s="39"/>
    </row>
    <row r="322" spans="1:26" ht="14.25" hidden="1" customHeight="1" x14ac:dyDescent="0.4">
      <c r="A322" s="148"/>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row>
    <row r="323" spans="1:26" ht="14.25" hidden="1" customHeight="1" thickBot="1" x14ac:dyDescent="0.45">
      <c r="A323" s="633" t="s">
        <v>189</v>
      </c>
      <c r="B323" s="634"/>
      <c r="C323" s="24"/>
    </row>
    <row r="324" spans="1:26" ht="14.25" hidden="1" customHeight="1" x14ac:dyDescent="0.4">
      <c r="A324" s="132" t="s">
        <v>252</v>
      </c>
      <c r="B324" s="71"/>
      <c r="C324" s="24"/>
    </row>
    <row r="325" spans="1:26" ht="14.25" hidden="1" customHeight="1" x14ac:dyDescent="0.4">
      <c r="A325" s="131" t="s">
        <v>191</v>
      </c>
      <c r="B325" s="70"/>
      <c r="C325" s="142">
        <v>0</v>
      </c>
      <c r="E325" t="s">
        <v>192</v>
      </c>
      <c r="F325" t="s">
        <v>240</v>
      </c>
    </row>
    <row r="326" spans="1:26" ht="14.25" hidden="1" customHeight="1" x14ac:dyDescent="0.4">
      <c r="A326" s="131" t="s">
        <v>194</v>
      </c>
      <c r="B326" s="70"/>
      <c r="C326" s="143">
        <v>7</v>
      </c>
      <c r="E326" t="s">
        <v>195</v>
      </c>
      <c r="F326" s="38">
        <v>60</v>
      </c>
    </row>
    <row r="327" spans="1:26" ht="14.25" hidden="1" customHeight="1" x14ac:dyDescent="0.4">
      <c r="A327" t="s">
        <v>241</v>
      </c>
      <c r="C327" s="144">
        <v>0.09</v>
      </c>
      <c r="E327" t="s">
        <v>197</v>
      </c>
      <c r="F327" s="145">
        <f>C327/12</f>
        <v>7.4999999999999997E-3</v>
      </c>
    </row>
    <row r="328" spans="1:26" ht="14.25" hidden="1" customHeight="1" x14ac:dyDescent="0.4">
      <c r="A328" t="s">
        <v>198</v>
      </c>
      <c r="C328" s="146" t="s">
        <v>253</v>
      </c>
      <c r="E328" t="s">
        <v>200</v>
      </c>
      <c r="F328" s="147">
        <f>PMT(F327,F326,-C325,0)</f>
        <v>0</v>
      </c>
    </row>
    <row r="329" spans="1:26" ht="15" hidden="1" customHeight="1" x14ac:dyDescent="0.4"/>
    <row r="330" spans="1:26" ht="14.25" hidden="1" customHeight="1" x14ac:dyDescent="0.4">
      <c r="A330" s="71" t="s">
        <v>172</v>
      </c>
      <c r="B330" s="71">
        <v>24</v>
      </c>
      <c r="C330" s="71">
        <v>25</v>
      </c>
      <c r="D330" s="71">
        <v>26</v>
      </c>
      <c r="E330" s="71">
        <v>27</v>
      </c>
      <c r="F330" s="71">
        <v>28</v>
      </c>
      <c r="G330" s="71">
        <v>29</v>
      </c>
      <c r="H330" s="71">
        <v>30</v>
      </c>
      <c r="I330" s="71">
        <v>31</v>
      </c>
      <c r="J330" s="71">
        <v>32</v>
      </c>
      <c r="K330" s="71">
        <v>33</v>
      </c>
      <c r="L330" s="71">
        <v>34</v>
      </c>
      <c r="M330" s="71">
        <v>35</v>
      </c>
      <c r="N330" s="71">
        <v>36</v>
      </c>
      <c r="O330" s="71">
        <v>37</v>
      </c>
      <c r="P330" s="71">
        <v>38</v>
      </c>
      <c r="Q330" s="71">
        <v>39</v>
      </c>
      <c r="R330" s="71">
        <v>40</v>
      </c>
      <c r="S330" s="71">
        <v>41</v>
      </c>
      <c r="T330" s="71">
        <v>42</v>
      </c>
      <c r="U330" s="71">
        <v>43</v>
      </c>
      <c r="V330" s="71">
        <v>44</v>
      </c>
      <c r="W330" s="71">
        <v>45</v>
      </c>
      <c r="X330" s="71">
        <v>46</v>
      </c>
      <c r="Y330" s="71">
        <v>47</v>
      </c>
      <c r="Z330" s="71"/>
    </row>
    <row r="331" spans="1:26" ht="16.5" hidden="1" customHeight="1" x14ac:dyDescent="0.4">
      <c r="A331" s="24" t="s">
        <v>202</v>
      </c>
      <c r="B331" s="39">
        <f>C325</f>
        <v>0</v>
      </c>
      <c r="C331" s="39">
        <f t="shared" ref="C331:Y331" si="170">B335</f>
        <v>0</v>
      </c>
      <c r="D331" s="39">
        <f t="shared" si="170"/>
        <v>0</v>
      </c>
      <c r="E331" s="39">
        <f t="shared" si="170"/>
        <v>0</v>
      </c>
      <c r="F331" s="39">
        <f t="shared" si="170"/>
        <v>0</v>
      </c>
      <c r="G331" s="39">
        <f t="shared" si="170"/>
        <v>0</v>
      </c>
      <c r="H331" s="39">
        <f t="shared" si="170"/>
        <v>0</v>
      </c>
      <c r="I331" s="39">
        <f t="shared" si="170"/>
        <v>0</v>
      </c>
      <c r="J331" s="39">
        <f t="shared" si="170"/>
        <v>0</v>
      </c>
      <c r="K331" s="39">
        <f t="shared" si="170"/>
        <v>0</v>
      </c>
      <c r="L331" s="39">
        <f t="shared" si="170"/>
        <v>0</v>
      </c>
      <c r="M331" s="39">
        <f t="shared" si="170"/>
        <v>0</v>
      </c>
      <c r="N331" s="39">
        <f t="shared" si="170"/>
        <v>0</v>
      </c>
      <c r="O331" s="39">
        <f t="shared" si="170"/>
        <v>0</v>
      </c>
      <c r="P331" s="39">
        <f t="shared" si="170"/>
        <v>0</v>
      </c>
      <c r="Q331" s="39">
        <f t="shared" si="170"/>
        <v>0</v>
      </c>
      <c r="R331" s="39">
        <f t="shared" si="170"/>
        <v>0</v>
      </c>
      <c r="S331" s="39">
        <f t="shared" si="170"/>
        <v>0</v>
      </c>
      <c r="T331" s="39">
        <f t="shared" si="170"/>
        <v>0</v>
      </c>
      <c r="U331" s="39">
        <f t="shared" si="170"/>
        <v>0</v>
      </c>
      <c r="V331" s="39">
        <f t="shared" si="170"/>
        <v>0</v>
      </c>
      <c r="W331" s="39">
        <f t="shared" si="170"/>
        <v>0</v>
      </c>
      <c r="X331" s="39">
        <f t="shared" si="170"/>
        <v>0</v>
      </c>
      <c r="Y331" s="39">
        <f t="shared" si="170"/>
        <v>0</v>
      </c>
      <c r="Z331" s="39"/>
    </row>
    <row r="332" spans="1:26" ht="14.25" hidden="1" customHeight="1" x14ac:dyDescent="0.4">
      <c r="A332" s="24" t="s">
        <v>203</v>
      </c>
      <c r="B332" s="39"/>
      <c r="C332" s="39"/>
      <c r="D332" s="39"/>
      <c r="E332" s="39"/>
      <c r="F332" s="39"/>
      <c r="G332" s="39"/>
      <c r="H332" s="39"/>
      <c r="I332" s="39"/>
      <c r="J332" s="39"/>
      <c r="K332" s="39"/>
      <c r="L332" s="39"/>
      <c r="M332" s="39">
        <f t="shared" ref="M332:Y332" si="171">-$F$328</f>
        <v>0</v>
      </c>
      <c r="N332" s="39">
        <f t="shared" si="171"/>
        <v>0</v>
      </c>
      <c r="O332" s="39">
        <f t="shared" si="171"/>
        <v>0</v>
      </c>
      <c r="P332" s="39">
        <f t="shared" si="171"/>
        <v>0</v>
      </c>
      <c r="Q332" s="39">
        <f t="shared" si="171"/>
        <v>0</v>
      </c>
      <c r="R332" s="39">
        <f t="shared" si="171"/>
        <v>0</v>
      </c>
      <c r="S332" s="39">
        <f t="shared" si="171"/>
        <v>0</v>
      </c>
      <c r="T332" s="39">
        <f t="shared" si="171"/>
        <v>0</v>
      </c>
      <c r="U332" s="39">
        <f t="shared" si="171"/>
        <v>0</v>
      </c>
      <c r="V332" s="39">
        <f t="shared" si="171"/>
        <v>0</v>
      </c>
      <c r="W332" s="39">
        <f t="shared" si="171"/>
        <v>0</v>
      </c>
      <c r="X332" s="39">
        <f t="shared" si="171"/>
        <v>0</v>
      </c>
      <c r="Y332" s="39">
        <f t="shared" si="171"/>
        <v>0</v>
      </c>
      <c r="Z332" s="39"/>
    </row>
    <row r="333" spans="1:26" ht="14.25" hidden="1" customHeight="1" x14ac:dyDescent="0.4">
      <c r="A333" s="24" t="s">
        <v>204</v>
      </c>
      <c r="B333" s="39">
        <f t="shared" ref="B333:Y333" si="172">-B331*$F$110</f>
        <v>0</v>
      </c>
      <c r="C333" s="39">
        <f t="shared" si="172"/>
        <v>0</v>
      </c>
      <c r="D333" s="39">
        <f t="shared" si="172"/>
        <v>0</v>
      </c>
      <c r="E333" s="39">
        <f t="shared" si="172"/>
        <v>0</v>
      </c>
      <c r="F333" s="39">
        <f t="shared" si="172"/>
        <v>0</v>
      </c>
      <c r="G333" s="39">
        <f t="shared" si="172"/>
        <v>0</v>
      </c>
      <c r="H333" s="39">
        <f t="shared" si="172"/>
        <v>0</v>
      </c>
      <c r="I333" s="39">
        <f t="shared" si="172"/>
        <v>0</v>
      </c>
      <c r="J333" s="39">
        <f t="shared" si="172"/>
        <v>0</v>
      </c>
      <c r="K333" s="39">
        <f t="shared" si="172"/>
        <v>0</v>
      </c>
      <c r="L333" s="39">
        <f t="shared" si="172"/>
        <v>0</v>
      </c>
      <c r="M333" s="39">
        <f t="shared" si="172"/>
        <v>0</v>
      </c>
      <c r="N333" s="39">
        <f t="shared" si="172"/>
        <v>0</v>
      </c>
      <c r="O333" s="39">
        <f t="shared" si="172"/>
        <v>0</v>
      </c>
      <c r="P333" s="39">
        <f t="shared" si="172"/>
        <v>0</v>
      </c>
      <c r="Q333" s="39">
        <f t="shared" si="172"/>
        <v>0</v>
      </c>
      <c r="R333" s="39">
        <f t="shared" si="172"/>
        <v>0</v>
      </c>
      <c r="S333" s="39">
        <f t="shared" si="172"/>
        <v>0</v>
      </c>
      <c r="T333" s="39">
        <f t="shared" si="172"/>
        <v>0</v>
      </c>
      <c r="U333" s="39">
        <f t="shared" si="172"/>
        <v>0</v>
      </c>
      <c r="V333" s="39">
        <f t="shared" si="172"/>
        <v>0</v>
      </c>
      <c r="W333" s="39">
        <f t="shared" si="172"/>
        <v>0</v>
      </c>
      <c r="X333" s="39">
        <f t="shared" si="172"/>
        <v>0</v>
      </c>
      <c r="Y333" s="39">
        <f t="shared" si="172"/>
        <v>0</v>
      </c>
      <c r="Z333" s="39"/>
    </row>
    <row r="334" spans="1:26" ht="14.25" hidden="1" customHeight="1" x14ac:dyDescent="0.4">
      <c r="A334" s="24" t="s">
        <v>205</v>
      </c>
      <c r="B334" s="39"/>
      <c r="C334" s="39"/>
      <c r="D334" s="39"/>
      <c r="E334" s="39"/>
      <c r="F334" s="39"/>
      <c r="G334" s="39"/>
      <c r="H334" s="39"/>
      <c r="I334" s="39"/>
      <c r="J334" s="39"/>
      <c r="K334" s="39"/>
      <c r="L334" s="39"/>
      <c r="M334" s="39">
        <f t="shared" ref="M334:Y334" si="173">-M332+M333</f>
        <v>0</v>
      </c>
      <c r="N334" s="39">
        <f t="shared" si="173"/>
        <v>0</v>
      </c>
      <c r="O334" s="39">
        <f t="shared" si="173"/>
        <v>0</v>
      </c>
      <c r="P334" s="39">
        <f t="shared" si="173"/>
        <v>0</v>
      </c>
      <c r="Q334" s="39">
        <f t="shared" si="173"/>
        <v>0</v>
      </c>
      <c r="R334" s="39">
        <f t="shared" si="173"/>
        <v>0</v>
      </c>
      <c r="S334" s="39">
        <f t="shared" si="173"/>
        <v>0</v>
      </c>
      <c r="T334" s="39">
        <f t="shared" si="173"/>
        <v>0</v>
      </c>
      <c r="U334" s="39">
        <f t="shared" si="173"/>
        <v>0</v>
      </c>
      <c r="V334" s="39">
        <f t="shared" si="173"/>
        <v>0</v>
      </c>
      <c r="W334" s="39">
        <f t="shared" si="173"/>
        <v>0</v>
      </c>
      <c r="X334" s="39">
        <f t="shared" si="173"/>
        <v>0</v>
      </c>
      <c r="Y334" s="39">
        <f t="shared" si="173"/>
        <v>0</v>
      </c>
      <c r="Z334" s="39"/>
    </row>
    <row r="335" spans="1:26" ht="13.5" hidden="1" customHeight="1" x14ac:dyDescent="0.4">
      <c r="A335" s="24" t="s">
        <v>206</v>
      </c>
      <c r="B335" s="39">
        <f t="shared" ref="B335:Y335" si="174">B331-B334</f>
        <v>0</v>
      </c>
      <c r="C335" s="39">
        <f t="shared" si="174"/>
        <v>0</v>
      </c>
      <c r="D335" s="39">
        <f t="shared" si="174"/>
        <v>0</v>
      </c>
      <c r="E335" s="39">
        <f t="shared" si="174"/>
        <v>0</v>
      </c>
      <c r="F335" s="39">
        <f t="shared" si="174"/>
        <v>0</v>
      </c>
      <c r="G335" s="39">
        <f t="shared" si="174"/>
        <v>0</v>
      </c>
      <c r="H335" s="39">
        <f t="shared" si="174"/>
        <v>0</v>
      </c>
      <c r="I335" s="39">
        <f t="shared" si="174"/>
        <v>0</v>
      </c>
      <c r="J335" s="39">
        <f t="shared" si="174"/>
        <v>0</v>
      </c>
      <c r="K335" s="39">
        <f t="shared" si="174"/>
        <v>0</v>
      </c>
      <c r="L335" s="39">
        <f t="shared" si="174"/>
        <v>0</v>
      </c>
      <c r="M335" s="39">
        <f t="shared" si="174"/>
        <v>0</v>
      </c>
      <c r="N335" s="39">
        <f t="shared" si="174"/>
        <v>0</v>
      </c>
      <c r="O335" s="39">
        <f t="shared" si="174"/>
        <v>0</v>
      </c>
      <c r="P335" s="39">
        <f t="shared" si="174"/>
        <v>0</v>
      </c>
      <c r="Q335" s="39">
        <f t="shared" si="174"/>
        <v>0</v>
      </c>
      <c r="R335" s="39">
        <f t="shared" si="174"/>
        <v>0</v>
      </c>
      <c r="S335" s="39">
        <f t="shared" si="174"/>
        <v>0</v>
      </c>
      <c r="T335" s="39">
        <f t="shared" si="174"/>
        <v>0</v>
      </c>
      <c r="U335" s="39">
        <f t="shared" si="174"/>
        <v>0</v>
      </c>
      <c r="V335" s="39">
        <f t="shared" si="174"/>
        <v>0</v>
      </c>
      <c r="W335" s="39">
        <f t="shared" si="174"/>
        <v>0</v>
      </c>
      <c r="X335" s="39">
        <f t="shared" si="174"/>
        <v>0</v>
      </c>
      <c r="Y335" s="39">
        <f t="shared" si="174"/>
        <v>0</v>
      </c>
      <c r="Z335" s="39"/>
    </row>
    <row r="336" spans="1:26" ht="14.25" hidden="1" customHeight="1" x14ac:dyDescent="0.4">
      <c r="A336" s="148"/>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row>
    <row r="337" spans="1:26" ht="14.25" hidden="1" customHeight="1" thickBot="1" x14ac:dyDescent="0.45">
      <c r="A337" s="633" t="s">
        <v>189</v>
      </c>
      <c r="B337" s="634"/>
      <c r="C337" s="24"/>
    </row>
    <row r="338" spans="1:26" ht="14.25" hidden="1" customHeight="1" x14ac:dyDescent="0.4">
      <c r="A338" s="132" t="s">
        <v>254</v>
      </c>
      <c r="B338" s="71"/>
      <c r="C338" s="24"/>
    </row>
    <row r="339" spans="1:26" ht="14.25" hidden="1" customHeight="1" x14ac:dyDescent="0.4">
      <c r="A339" s="131" t="s">
        <v>191</v>
      </c>
      <c r="B339" s="70"/>
      <c r="C339" s="142">
        <v>0</v>
      </c>
      <c r="E339" t="s">
        <v>192</v>
      </c>
      <c r="F339" t="s">
        <v>240</v>
      </c>
    </row>
    <row r="340" spans="1:26" ht="14.25" hidden="1" customHeight="1" x14ac:dyDescent="0.4">
      <c r="A340" s="131" t="s">
        <v>194</v>
      </c>
      <c r="B340" s="70"/>
      <c r="C340" s="143">
        <v>7</v>
      </c>
      <c r="E340" t="s">
        <v>195</v>
      </c>
      <c r="F340" s="38">
        <v>60</v>
      </c>
    </row>
    <row r="341" spans="1:26" ht="14.25" hidden="1" customHeight="1" x14ac:dyDescent="0.4">
      <c r="A341" t="s">
        <v>241</v>
      </c>
      <c r="C341" s="144">
        <v>0.09</v>
      </c>
      <c r="E341" t="s">
        <v>197</v>
      </c>
      <c r="F341" s="145">
        <f>C341/12</f>
        <v>7.4999999999999997E-3</v>
      </c>
    </row>
    <row r="342" spans="1:26" ht="15" hidden="1" customHeight="1" x14ac:dyDescent="0.4">
      <c r="A342" t="s">
        <v>198</v>
      </c>
      <c r="C342" s="146" t="s">
        <v>253</v>
      </c>
      <c r="E342" t="s">
        <v>200</v>
      </c>
      <c r="F342" s="147">
        <f>PMT(F341,F340,-C339,0)</f>
        <v>0</v>
      </c>
    </row>
    <row r="343" spans="1:26" ht="14.25" hidden="1" customHeight="1" x14ac:dyDescent="0.4"/>
    <row r="344" spans="1:26" ht="16.5" hidden="1" customHeight="1" x14ac:dyDescent="0.4">
      <c r="A344" s="71" t="s">
        <v>172</v>
      </c>
      <c r="B344" s="71">
        <v>25</v>
      </c>
      <c r="C344" s="71">
        <v>26</v>
      </c>
      <c r="D344" s="71">
        <v>27</v>
      </c>
      <c r="E344" s="71">
        <v>28</v>
      </c>
      <c r="F344" s="71">
        <v>29</v>
      </c>
      <c r="G344" s="71">
        <v>30</v>
      </c>
      <c r="H344" s="71">
        <v>31</v>
      </c>
      <c r="I344" s="71">
        <v>32</v>
      </c>
      <c r="J344" s="71">
        <v>33</v>
      </c>
      <c r="K344" s="71">
        <v>34</v>
      </c>
      <c r="L344" s="71">
        <v>35</v>
      </c>
      <c r="M344" s="71">
        <v>36</v>
      </c>
      <c r="N344" s="71">
        <v>37</v>
      </c>
      <c r="O344" s="71">
        <v>38</v>
      </c>
      <c r="P344" s="71">
        <v>39</v>
      </c>
      <c r="Q344" s="71">
        <v>40</v>
      </c>
      <c r="R344" s="71">
        <v>41</v>
      </c>
      <c r="S344" s="71">
        <v>42</v>
      </c>
      <c r="T344" s="71">
        <v>43</v>
      </c>
      <c r="U344" s="71">
        <v>44</v>
      </c>
      <c r="V344" s="71">
        <v>45</v>
      </c>
      <c r="W344" s="71">
        <v>46</v>
      </c>
      <c r="X344" s="71">
        <v>47</v>
      </c>
      <c r="Y344" s="71">
        <v>48</v>
      </c>
      <c r="Z344" s="71"/>
    </row>
    <row r="345" spans="1:26" ht="14.25" hidden="1" customHeight="1" x14ac:dyDescent="0.4">
      <c r="A345" s="24" t="s">
        <v>202</v>
      </c>
      <c r="B345" s="39">
        <f>C339</f>
        <v>0</v>
      </c>
      <c r="C345" s="39">
        <f t="shared" ref="C345:Y345" si="175">B349</f>
        <v>0</v>
      </c>
      <c r="D345" s="39">
        <f t="shared" si="175"/>
        <v>0</v>
      </c>
      <c r="E345" s="39">
        <f t="shared" si="175"/>
        <v>0</v>
      </c>
      <c r="F345" s="39">
        <f t="shared" si="175"/>
        <v>0</v>
      </c>
      <c r="G345" s="39">
        <f t="shared" si="175"/>
        <v>0</v>
      </c>
      <c r="H345" s="39">
        <f t="shared" si="175"/>
        <v>0</v>
      </c>
      <c r="I345" s="39">
        <f t="shared" si="175"/>
        <v>0</v>
      </c>
      <c r="J345" s="39">
        <f t="shared" si="175"/>
        <v>0</v>
      </c>
      <c r="K345" s="39">
        <f t="shared" si="175"/>
        <v>0</v>
      </c>
      <c r="L345" s="39">
        <f t="shared" si="175"/>
        <v>0</v>
      </c>
      <c r="M345" s="39">
        <f t="shared" si="175"/>
        <v>0</v>
      </c>
      <c r="N345" s="39">
        <f t="shared" si="175"/>
        <v>0</v>
      </c>
      <c r="O345" s="39">
        <f t="shared" si="175"/>
        <v>0</v>
      </c>
      <c r="P345" s="39">
        <f t="shared" si="175"/>
        <v>0</v>
      </c>
      <c r="Q345" s="39">
        <f t="shared" si="175"/>
        <v>0</v>
      </c>
      <c r="R345" s="39">
        <f t="shared" si="175"/>
        <v>0</v>
      </c>
      <c r="S345" s="39">
        <f t="shared" si="175"/>
        <v>0</v>
      </c>
      <c r="T345" s="39">
        <f t="shared" si="175"/>
        <v>0</v>
      </c>
      <c r="U345" s="39">
        <f t="shared" si="175"/>
        <v>0</v>
      </c>
      <c r="V345" s="39">
        <f t="shared" si="175"/>
        <v>0</v>
      </c>
      <c r="W345" s="39">
        <f t="shared" si="175"/>
        <v>0</v>
      </c>
      <c r="X345" s="39">
        <f t="shared" si="175"/>
        <v>0</v>
      </c>
      <c r="Y345" s="39">
        <f t="shared" si="175"/>
        <v>0</v>
      </c>
      <c r="Z345" s="39"/>
    </row>
    <row r="346" spans="1:26" ht="14.25" hidden="1" customHeight="1" x14ac:dyDescent="0.4">
      <c r="A346" s="24" t="s">
        <v>203</v>
      </c>
      <c r="B346" s="39"/>
      <c r="C346" s="39"/>
      <c r="D346" s="39"/>
      <c r="E346" s="39"/>
      <c r="F346" s="39"/>
      <c r="G346" s="39"/>
      <c r="H346" s="39"/>
      <c r="I346" s="39"/>
      <c r="J346" s="39"/>
      <c r="K346" s="39"/>
      <c r="L346" s="39"/>
      <c r="M346" s="39">
        <f t="shared" ref="M346:Y346" si="176">-$F$342</f>
        <v>0</v>
      </c>
      <c r="N346" s="39">
        <f t="shared" si="176"/>
        <v>0</v>
      </c>
      <c r="O346" s="39">
        <f t="shared" si="176"/>
        <v>0</v>
      </c>
      <c r="P346" s="39">
        <f t="shared" si="176"/>
        <v>0</v>
      </c>
      <c r="Q346" s="39">
        <f t="shared" si="176"/>
        <v>0</v>
      </c>
      <c r="R346" s="39">
        <f t="shared" si="176"/>
        <v>0</v>
      </c>
      <c r="S346" s="39">
        <f t="shared" si="176"/>
        <v>0</v>
      </c>
      <c r="T346" s="39">
        <f t="shared" si="176"/>
        <v>0</v>
      </c>
      <c r="U346" s="39">
        <f t="shared" si="176"/>
        <v>0</v>
      </c>
      <c r="V346" s="39">
        <f t="shared" si="176"/>
        <v>0</v>
      </c>
      <c r="W346" s="39">
        <f t="shared" si="176"/>
        <v>0</v>
      </c>
      <c r="X346" s="39">
        <f t="shared" si="176"/>
        <v>0</v>
      </c>
      <c r="Y346" s="39">
        <f t="shared" si="176"/>
        <v>0</v>
      </c>
      <c r="Z346" s="39"/>
    </row>
    <row r="347" spans="1:26" ht="14.25" hidden="1" customHeight="1" x14ac:dyDescent="0.4">
      <c r="A347" s="24" t="s">
        <v>204</v>
      </c>
      <c r="B347" s="39">
        <f t="shared" ref="B347:Y347" si="177">-B345*$F$110</f>
        <v>0</v>
      </c>
      <c r="C347" s="39">
        <f t="shared" si="177"/>
        <v>0</v>
      </c>
      <c r="D347" s="39">
        <f t="shared" si="177"/>
        <v>0</v>
      </c>
      <c r="E347" s="39">
        <f t="shared" si="177"/>
        <v>0</v>
      </c>
      <c r="F347" s="39">
        <f t="shared" si="177"/>
        <v>0</v>
      </c>
      <c r="G347" s="39">
        <f t="shared" si="177"/>
        <v>0</v>
      </c>
      <c r="H347" s="39">
        <f t="shared" si="177"/>
        <v>0</v>
      </c>
      <c r="I347" s="39">
        <f t="shared" si="177"/>
        <v>0</v>
      </c>
      <c r="J347" s="39">
        <f t="shared" si="177"/>
        <v>0</v>
      </c>
      <c r="K347" s="39">
        <f t="shared" si="177"/>
        <v>0</v>
      </c>
      <c r="L347" s="39">
        <f t="shared" si="177"/>
        <v>0</v>
      </c>
      <c r="M347" s="39">
        <f t="shared" si="177"/>
        <v>0</v>
      </c>
      <c r="N347" s="39">
        <f t="shared" si="177"/>
        <v>0</v>
      </c>
      <c r="O347" s="39">
        <f t="shared" si="177"/>
        <v>0</v>
      </c>
      <c r="P347" s="39">
        <f t="shared" si="177"/>
        <v>0</v>
      </c>
      <c r="Q347" s="39">
        <f t="shared" si="177"/>
        <v>0</v>
      </c>
      <c r="R347" s="39">
        <f t="shared" si="177"/>
        <v>0</v>
      </c>
      <c r="S347" s="39">
        <f t="shared" si="177"/>
        <v>0</v>
      </c>
      <c r="T347" s="39">
        <f t="shared" si="177"/>
        <v>0</v>
      </c>
      <c r="U347" s="39">
        <f t="shared" si="177"/>
        <v>0</v>
      </c>
      <c r="V347" s="39">
        <f t="shared" si="177"/>
        <v>0</v>
      </c>
      <c r="W347" s="39">
        <f t="shared" si="177"/>
        <v>0</v>
      </c>
      <c r="X347" s="39">
        <f t="shared" si="177"/>
        <v>0</v>
      </c>
      <c r="Y347" s="39">
        <f t="shared" si="177"/>
        <v>0</v>
      </c>
      <c r="Z347" s="39"/>
    </row>
    <row r="348" spans="1:26" ht="14.25" hidden="1" customHeight="1" x14ac:dyDescent="0.4">
      <c r="A348" s="24" t="s">
        <v>205</v>
      </c>
      <c r="B348" s="39"/>
      <c r="C348" s="39"/>
      <c r="D348" s="39"/>
      <c r="E348" s="39"/>
      <c r="F348" s="39"/>
      <c r="G348" s="39"/>
      <c r="H348" s="39"/>
      <c r="I348" s="39"/>
      <c r="J348" s="39"/>
      <c r="K348" s="39"/>
      <c r="L348" s="39"/>
      <c r="M348" s="39">
        <f t="shared" ref="M348:Y348" si="178">-M346+M347</f>
        <v>0</v>
      </c>
      <c r="N348" s="39">
        <f t="shared" si="178"/>
        <v>0</v>
      </c>
      <c r="O348" s="39">
        <f t="shared" si="178"/>
        <v>0</v>
      </c>
      <c r="P348" s="39">
        <f t="shared" si="178"/>
        <v>0</v>
      </c>
      <c r="Q348" s="39">
        <f t="shared" si="178"/>
        <v>0</v>
      </c>
      <c r="R348" s="39">
        <f t="shared" si="178"/>
        <v>0</v>
      </c>
      <c r="S348" s="39">
        <f t="shared" si="178"/>
        <v>0</v>
      </c>
      <c r="T348" s="39">
        <f t="shared" si="178"/>
        <v>0</v>
      </c>
      <c r="U348" s="39">
        <f t="shared" si="178"/>
        <v>0</v>
      </c>
      <c r="V348" s="39">
        <f t="shared" si="178"/>
        <v>0</v>
      </c>
      <c r="W348" s="39">
        <f t="shared" si="178"/>
        <v>0</v>
      </c>
      <c r="X348" s="39">
        <f t="shared" si="178"/>
        <v>0</v>
      </c>
      <c r="Y348" s="39">
        <f t="shared" si="178"/>
        <v>0</v>
      </c>
      <c r="Z348" s="39"/>
    </row>
    <row r="349" spans="1:26" ht="14.25" hidden="1" customHeight="1" x14ac:dyDescent="0.4">
      <c r="A349" s="24" t="s">
        <v>206</v>
      </c>
      <c r="B349" s="39">
        <f t="shared" ref="B349:Y349" si="179">B345-B348</f>
        <v>0</v>
      </c>
      <c r="C349" s="39">
        <f t="shared" si="179"/>
        <v>0</v>
      </c>
      <c r="D349" s="39">
        <f t="shared" si="179"/>
        <v>0</v>
      </c>
      <c r="E349" s="39">
        <f t="shared" si="179"/>
        <v>0</v>
      </c>
      <c r="F349" s="39">
        <f t="shared" si="179"/>
        <v>0</v>
      </c>
      <c r="G349" s="39">
        <f t="shared" si="179"/>
        <v>0</v>
      </c>
      <c r="H349" s="39">
        <f t="shared" si="179"/>
        <v>0</v>
      </c>
      <c r="I349" s="39">
        <f t="shared" si="179"/>
        <v>0</v>
      </c>
      <c r="J349" s="39">
        <f t="shared" si="179"/>
        <v>0</v>
      </c>
      <c r="K349" s="39">
        <f t="shared" si="179"/>
        <v>0</v>
      </c>
      <c r="L349" s="39">
        <f t="shared" si="179"/>
        <v>0</v>
      </c>
      <c r="M349" s="39">
        <f t="shared" si="179"/>
        <v>0</v>
      </c>
      <c r="N349" s="39">
        <f t="shared" si="179"/>
        <v>0</v>
      </c>
      <c r="O349" s="39">
        <f t="shared" si="179"/>
        <v>0</v>
      </c>
      <c r="P349" s="39">
        <f t="shared" si="179"/>
        <v>0</v>
      </c>
      <c r="Q349" s="39">
        <f t="shared" si="179"/>
        <v>0</v>
      </c>
      <c r="R349" s="39">
        <f t="shared" si="179"/>
        <v>0</v>
      </c>
      <c r="S349" s="39">
        <f t="shared" si="179"/>
        <v>0</v>
      </c>
      <c r="T349" s="39">
        <f t="shared" si="179"/>
        <v>0</v>
      </c>
      <c r="U349" s="39">
        <f t="shared" si="179"/>
        <v>0</v>
      </c>
      <c r="V349" s="39">
        <f t="shared" si="179"/>
        <v>0</v>
      </c>
      <c r="W349" s="39">
        <f t="shared" si="179"/>
        <v>0</v>
      </c>
      <c r="X349" s="39">
        <f t="shared" si="179"/>
        <v>0</v>
      </c>
      <c r="Y349" s="39">
        <f t="shared" si="179"/>
        <v>0</v>
      </c>
      <c r="Z349" s="39"/>
    </row>
    <row r="350" spans="1:26" ht="14.25" hidden="1" customHeight="1" x14ac:dyDescent="0.4">
      <c r="A350" s="148"/>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row>
    <row r="351" spans="1:26" ht="14.25" hidden="1" customHeight="1" x14ac:dyDescent="0.4">
      <c r="A351" s="24"/>
    </row>
    <row r="352" spans="1:26" ht="14.25" hidden="1" customHeight="1" x14ac:dyDescent="0.4">
      <c r="A352" s="131"/>
      <c r="B352" s="70"/>
      <c r="C352" s="142"/>
    </row>
    <row r="353" spans="1:26" ht="14.25" hidden="1" customHeight="1" x14ac:dyDescent="0.4">
      <c r="A353" s="131"/>
      <c r="B353" s="70"/>
      <c r="C353" s="143"/>
    </row>
    <row r="354" spans="1:26" ht="14.25" hidden="1" customHeight="1" x14ac:dyDescent="0.4">
      <c r="C354" s="144"/>
      <c r="F354" s="145"/>
    </row>
    <row r="355" spans="1:26" ht="14.25" hidden="1" customHeight="1" x14ac:dyDescent="0.4">
      <c r="C355" s="146"/>
      <c r="F355" s="147"/>
    </row>
    <row r="356" spans="1:26" ht="15" hidden="1" customHeight="1" x14ac:dyDescent="0.4"/>
    <row r="357" spans="1:26" ht="14.25" hidden="1" customHeight="1" x14ac:dyDescent="0.4">
      <c r="A357" s="71"/>
      <c r="B357" s="71"/>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row>
    <row r="358" spans="1:26" ht="16.5" hidden="1" customHeight="1" x14ac:dyDescent="0.4">
      <c r="A358" s="24"/>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row>
    <row r="359" spans="1:26" ht="14.25" hidden="1" customHeight="1" x14ac:dyDescent="0.4">
      <c r="A359" s="24"/>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row>
    <row r="360" spans="1:26" ht="14.25" hidden="1" customHeight="1" x14ac:dyDescent="0.4">
      <c r="A360" s="24"/>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row>
    <row r="361" spans="1:26" ht="14.25" hidden="1" customHeight="1" x14ac:dyDescent="0.4">
      <c r="A361" s="24"/>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row>
    <row r="362" spans="1:26" ht="14.25" hidden="1" customHeight="1" x14ac:dyDescent="0.4">
      <c r="A362" s="24"/>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row>
    <row r="363" spans="1:26" ht="14.25" hidden="1" customHeight="1" x14ac:dyDescent="0.4"/>
    <row r="364" spans="1:26" ht="14.25" hidden="1" customHeight="1" x14ac:dyDescent="0.4"/>
    <row r="365" spans="1:26" ht="14.25" hidden="1" customHeight="1" x14ac:dyDescent="0.4">
      <c r="A365" s="24"/>
    </row>
    <row r="366" spans="1:26" ht="14.25" hidden="1" customHeight="1" x14ac:dyDescent="0.4">
      <c r="A366" s="131"/>
      <c r="B366" s="70"/>
      <c r="C366" s="142"/>
    </row>
    <row r="367" spans="1:26" ht="14.25" hidden="1" customHeight="1" x14ac:dyDescent="0.4">
      <c r="A367" s="131"/>
      <c r="B367" s="70"/>
      <c r="C367" s="143"/>
    </row>
    <row r="368" spans="1:26" ht="14.25" hidden="1" customHeight="1" x14ac:dyDescent="0.4">
      <c r="C368" s="144"/>
      <c r="F368" s="145"/>
    </row>
    <row r="369" spans="1:26" ht="14.25" hidden="1" customHeight="1" x14ac:dyDescent="0.4">
      <c r="C369" s="146"/>
      <c r="F369" s="147"/>
    </row>
    <row r="370" spans="1:26" ht="15" hidden="1" customHeight="1" x14ac:dyDescent="0.4"/>
    <row r="371" spans="1:26" ht="14.25" hidden="1" customHeight="1" x14ac:dyDescent="0.4">
      <c r="A371" s="71"/>
      <c r="B371" s="71"/>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row>
    <row r="372" spans="1:26" ht="16.5" hidden="1" customHeight="1" x14ac:dyDescent="0.4">
      <c r="A372" s="24"/>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row>
    <row r="373" spans="1:26" ht="14.25" hidden="1" customHeight="1" x14ac:dyDescent="0.4">
      <c r="A373" s="24"/>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row>
    <row r="374" spans="1:26" ht="14.25" hidden="1" customHeight="1" x14ac:dyDescent="0.4">
      <c r="A374" s="24"/>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row>
    <row r="375" spans="1:26" ht="14.25" hidden="1" customHeight="1" x14ac:dyDescent="0.4">
      <c r="A375" s="24"/>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row>
    <row r="376" spans="1:26" ht="14.25" hidden="1" customHeight="1" x14ac:dyDescent="0.4">
      <c r="A376" s="24"/>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row>
    <row r="377" spans="1:26" ht="14.25" hidden="1" customHeight="1" x14ac:dyDescent="0.4"/>
    <row r="378" spans="1:26" ht="14.25" hidden="1" customHeight="1" x14ac:dyDescent="0.4"/>
    <row r="379" spans="1:26" ht="14.25" hidden="1" customHeight="1" x14ac:dyDescent="0.4"/>
    <row r="380" spans="1:26" ht="14.25" hidden="1" customHeight="1" x14ac:dyDescent="0.4"/>
    <row r="381" spans="1:26" ht="14.25" hidden="1" customHeight="1" x14ac:dyDescent="0.4"/>
    <row r="382" spans="1:26" ht="14.25" hidden="1" customHeight="1" x14ac:dyDescent="0.4"/>
    <row r="383" spans="1:26" ht="14.25" hidden="1" customHeight="1" x14ac:dyDescent="0.4"/>
    <row r="384" spans="1:26" ht="15" hidden="1" customHeight="1" x14ac:dyDescent="0.4"/>
    <row r="385" ht="14.25" hidden="1" customHeight="1" x14ac:dyDescent="0.4"/>
    <row r="386" ht="16.5" hidden="1" customHeight="1" x14ac:dyDescent="0.4"/>
    <row r="387" ht="14.25" customHeight="1" x14ac:dyDescent="0.4"/>
    <row r="388" ht="14.25" customHeight="1" x14ac:dyDescent="0.4"/>
    <row r="389" ht="14.25" customHeight="1" x14ac:dyDescent="0.4"/>
    <row r="390" ht="14.25" customHeight="1" x14ac:dyDescent="0.4"/>
  </sheetData>
  <mergeCells count="22">
    <mergeCell ref="A179:B179"/>
    <mergeCell ref="A337:B337"/>
    <mergeCell ref="A323:B323"/>
    <mergeCell ref="A281:B281"/>
    <mergeCell ref="A295:B295"/>
    <mergeCell ref="A309:B309"/>
    <mergeCell ref="A1:E1"/>
    <mergeCell ref="A3:B3"/>
    <mergeCell ref="A33:B33"/>
    <mergeCell ref="A47:B47"/>
    <mergeCell ref="A267:B267"/>
    <mergeCell ref="A239:B239"/>
    <mergeCell ref="A194:B194"/>
    <mergeCell ref="A209:B209"/>
    <mergeCell ref="A224:B224"/>
    <mergeCell ref="A149:B149"/>
    <mergeCell ref="A164:B164"/>
    <mergeCell ref="A18:B18"/>
    <mergeCell ref="A253:B253"/>
    <mergeCell ref="A106:B106"/>
    <mergeCell ref="A92:B92"/>
    <mergeCell ref="A77:B77"/>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A8D08D"/>
  </sheetPr>
  <dimension ref="A1:BM100"/>
  <sheetViews>
    <sheetView workbookViewId="0">
      <selection activeCell="C5" sqref="C5"/>
    </sheetView>
  </sheetViews>
  <sheetFormatPr defaultColWidth="12.61328125" defaultRowHeight="15" customHeight="1" x14ac:dyDescent="0.4"/>
  <cols>
    <col min="1" max="1" width="7.69140625" customWidth="1"/>
    <col min="2" max="2" width="47.15234375" bestFit="1" customWidth="1"/>
    <col min="3" max="5" width="13.23046875" bestFit="1" customWidth="1"/>
    <col min="6" max="37" width="13.15234375" bestFit="1" customWidth="1"/>
    <col min="38" max="38" width="14.53515625" bestFit="1" customWidth="1"/>
    <col min="39" max="50" width="13.15234375" bestFit="1" customWidth="1"/>
    <col min="51" max="51" width="14.53515625" bestFit="1" customWidth="1"/>
    <col min="52" max="63" width="13.15234375" bestFit="1" customWidth="1"/>
    <col min="64" max="64" width="14.53515625" bestFit="1" customWidth="1"/>
    <col min="65" max="65" width="7.69140625" customWidth="1"/>
  </cols>
  <sheetData>
    <row r="1" spans="1:65" ht="14.25" customHeight="1" x14ac:dyDescent="0.4"/>
    <row r="2" spans="1:65" ht="14.25" customHeight="1" x14ac:dyDescent="0.4">
      <c r="B2" s="140" t="s">
        <v>183</v>
      </c>
      <c r="C2" s="579"/>
      <c r="D2" s="579"/>
      <c r="E2" s="579"/>
    </row>
    <row r="3" spans="1:65" ht="14.25" customHeight="1" x14ac:dyDescent="0.4"/>
    <row r="4" spans="1:65" ht="14.25" customHeight="1" x14ac:dyDescent="0.4">
      <c r="B4" s="83" t="s">
        <v>184</v>
      </c>
      <c r="C4" s="84">
        <v>28</v>
      </c>
      <c r="D4" s="84">
        <v>29</v>
      </c>
      <c r="E4" s="84">
        <v>30</v>
      </c>
      <c r="F4" s="84">
        <v>31</v>
      </c>
      <c r="G4" s="84">
        <v>32</v>
      </c>
      <c r="H4" s="84">
        <v>33</v>
      </c>
      <c r="I4" s="84">
        <v>34</v>
      </c>
      <c r="J4" s="84">
        <v>35</v>
      </c>
      <c r="K4" s="84">
        <v>36</v>
      </c>
      <c r="L4" s="84" t="s">
        <v>63</v>
      </c>
      <c r="M4" s="84">
        <v>37</v>
      </c>
      <c r="N4" s="84">
        <v>38</v>
      </c>
      <c r="O4" s="84">
        <v>39</v>
      </c>
      <c r="P4" s="84">
        <v>40</v>
      </c>
      <c r="Q4" s="84">
        <v>41</v>
      </c>
      <c r="R4" s="84">
        <v>42</v>
      </c>
      <c r="S4" s="84">
        <v>43</v>
      </c>
      <c r="T4" s="84">
        <v>44</v>
      </c>
      <c r="U4" s="84">
        <v>45</v>
      </c>
      <c r="V4" s="84">
        <v>46</v>
      </c>
      <c r="W4" s="84">
        <v>47</v>
      </c>
      <c r="X4" s="84">
        <v>48</v>
      </c>
      <c r="Y4" s="84" t="s">
        <v>64</v>
      </c>
      <c r="Z4" s="84">
        <v>49</v>
      </c>
      <c r="AA4" s="84">
        <v>50</v>
      </c>
      <c r="AB4" s="84">
        <v>51</v>
      </c>
      <c r="AC4" s="84">
        <v>52</v>
      </c>
      <c r="AD4" s="84">
        <v>53</v>
      </c>
      <c r="AE4" s="84">
        <v>54</v>
      </c>
      <c r="AF4" s="84">
        <v>55</v>
      </c>
      <c r="AG4" s="84">
        <v>56</v>
      </c>
      <c r="AH4" s="84">
        <v>57</v>
      </c>
      <c r="AI4" s="84">
        <v>58</v>
      </c>
      <c r="AJ4" s="84">
        <v>59</v>
      </c>
      <c r="AK4" s="84">
        <v>60</v>
      </c>
      <c r="AL4" s="84" t="s">
        <v>65</v>
      </c>
      <c r="AM4" s="83">
        <v>61</v>
      </c>
      <c r="AN4" s="83">
        <v>62</v>
      </c>
      <c r="AO4" s="83">
        <v>63</v>
      </c>
      <c r="AP4" s="83">
        <v>64</v>
      </c>
      <c r="AQ4" s="83">
        <v>65</v>
      </c>
      <c r="AR4" s="83">
        <v>66</v>
      </c>
      <c r="AS4" s="83">
        <v>67</v>
      </c>
      <c r="AT4" s="83">
        <v>68</v>
      </c>
      <c r="AU4" s="83">
        <v>69</v>
      </c>
      <c r="AV4" s="83">
        <v>70</v>
      </c>
      <c r="AW4" s="83">
        <v>71</v>
      </c>
      <c r="AX4" s="83">
        <v>72</v>
      </c>
      <c r="AY4" s="83" t="s">
        <v>66</v>
      </c>
      <c r="AZ4" s="83">
        <v>73</v>
      </c>
      <c r="BA4" s="83">
        <v>74</v>
      </c>
      <c r="BB4" s="83">
        <v>75</v>
      </c>
      <c r="BC4" s="83">
        <v>76</v>
      </c>
      <c r="BD4" s="83">
        <v>77</v>
      </c>
      <c r="BE4" s="83">
        <v>78</v>
      </c>
      <c r="BF4" s="83">
        <v>79</v>
      </c>
      <c r="BG4" s="83">
        <v>80</v>
      </c>
      <c r="BH4" s="83">
        <v>81</v>
      </c>
      <c r="BI4" s="83">
        <v>82</v>
      </c>
      <c r="BJ4" s="83">
        <v>83</v>
      </c>
      <c r="BK4" s="83">
        <v>84</v>
      </c>
      <c r="BL4" s="85" t="s">
        <v>67</v>
      </c>
    </row>
    <row r="5" spans="1:65" ht="14.25" customHeight="1" x14ac:dyDescent="0.4">
      <c r="B5" s="71" t="s">
        <v>185</v>
      </c>
      <c r="C5" s="103">
        <f>'Budget First 84 months'!AH110</f>
        <v>117593378.05962476</v>
      </c>
      <c r="D5" s="103">
        <f>'Budget First 84 months'!AI110</f>
        <v>132812906.45490132</v>
      </c>
      <c r="E5" s="103">
        <f>'Budget First 84 months'!AJ110</f>
        <v>142304565.10017788</v>
      </c>
      <c r="F5" s="103">
        <f>'Budget First 84 months'!AK110</f>
        <v>148332143.67545441</v>
      </c>
      <c r="G5" s="103">
        <f>'Budget First 84 months'!AL110</f>
        <v>151928480.3340643</v>
      </c>
      <c r="H5" s="103">
        <f>'Budget First 84 months'!AM110</f>
        <v>153736600.8340643</v>
      </c>
      <c r="I5" s="103">
        <f>'Budget First 84 months'!AN110</f>
        <v>153718100.8340643</v>
      </c>
      <c r="J5" s="103">
        <f>'Budget First 84 months'!AO110</f>
        <v>153738100.8340643</v>
      </c>
      <c r="K5" s="103">
        <f>'Budget First 84 months'!AP110</f>
        <v>153736600.8340643</v>
      </c>
      <c r="L5" s="103">
        <f>'Budget First 84 months'!AQ110</f>
        <v>153736600.8340643</v>
      </c>
      <c r="M5" s="103">
        <f>'Budget First 84 months'!AR110</f>
        <v>153694321.38480562</v>
      </c>
      <c r="N5" s="103">
        <f>'Budget First 84 months'!AS110</f>
        <v>194682743.85818797</v>
      </c>
      <c r="O5" s="103">
        <f>'Budget First 84 months'!AT110</f>
        <v>194681243.85818797</v>
      </c>
      <c r="P5" s="103">
        <f>'Budget First 84 months'!AU110</f>
        <v>194667743.85818797</v>
      </c>
      <c r="Q5" s="103">
        <f>'Budget First 84 months'!AV110</f>
        <v>194682743.85818797</v>
      </c>
      <c r="R5" s="103">
        <f>'Budget First 84 months'!AW110</f>
        <v>194681243.85818797</v>
      </c>
      <c r="S5" s="103">
        <f>'Budget First 84 months'!AX110</f>
        <v>194667743.85818797</v>
      </c>
      <c r="T5" s="103">
        <f>'Budget First 84 months'!AY110</f>
        <v>194682743.85818797</v>
      </c>
      <c r="U5" s="103">
        <f>'Budget First 84 months'!AZ110</f>
        <v>194681243.85818797</v>
      </c>
      <c r="V5" s="103">
        <f>'Budget First 84 months'!BA110</f>
        <v>194662743.85818797</v>
      </c>
      <c r="W5" s="103">
        <f>'Budget First 84 months'!BB110</f>
        <v>194682743.85818797</v>
      </c>
      <c r="X5" s="103">
        <f>'Budget First 84 months'!BC110</f>
        <v>194681243.85818797</v>
      </c>
      <c r="Y5" s="103">
        <f>'Budget First 84 months'!BD110</f>
        <v>194681243.85818797</v>
      </c>
      <c r="Z5" s="103">
        <f>'Budget First 84 months'!BE110</f>
        <v>194641433.23095894</v>
      </c>
      <c r="AA5" s="103">
        <f>'Budget First 84 months'!BF110</f>
        <v>216708659.67061099</v>
      </c>
      <c r="AB5" s="103">
        <f>'Budget First 84 months'!BG110</f>
        <v>216706402.55061099</v>
      </c>
      <c r="AC5" s="103">
        <f>'Budget First 84 months'!BH110</f>
        <v>216692902.55061099</v>
      </c>
      <c r="AD5" s="103">
        <f>'Budget First 84 months'!BI110</f>
        <v>216707115.14581099</v>
      </c>
      <c r="AE5" s="103">
        <f>'Budget First 84 months'!BJ110</f>
        <v>216705615.14581099</v>
      </c>
      <c r="AF5" s="103">
        <f>'Budget First 84 months'!BK110</f>
        <v>216691296.24481899</v>
      </c>
      <c r="AG5" s="103">
        <f>'Budget First 84 months'!BL110</f>
        <v>216706296.24481899</v>
      </c>
      <c r="AH5" s="103">
        <f>'Budget First 84 months'!BM110</f>
        <v>216703944.58778733</v>
      </c>
      <c r="AI5" s="103">
        <f>'Budget First 84 months'!BN110</f>
        <v>216685444.5877873</v>
      </c>
      <c r="AJ5" s="103">
        <f>'Budget First 84 months'!BO110</f>
        <v>216704558.86447436</v>
      </c>
      <c r="AK5" s="103">
        <f>'Budget First 84 months'!BP110</f>
        <v>216703058.86447436</v>
      </c>
      <c r="AL5" s="103">
        <f>'Budget First 84 months'!BQ110</f>
        <v>216703058.86447436</v>
      </c>
      <c r="AM5" s="103">
        <f>'Budget First 84 months'!BR110</f>
        <v>216662965.57031518</v>
      </c>
      <c r="AN5" s="103">
        <f>'Budget First 84 months'!BS110</f>
        <v>217992223.12532151</v>
      </c>
      <c r="AO5" s="103">
        <f>'Budget First 84 months'!BT110</f>
        <v>217990723.12532151</v>
      </c>
      <c r="AP5" s="103">
        <f>'Budget First 84 months'!BU110</f>
        <v>217977223.12532151</v>
      </c>
      <c r="AQ5" s="103">
        <f>'Budget First 84 months'!BV110</f>
        <v>217992223.12532151</v>
      </c>
      <c r="AR5" s="103">
        <f>'Budget First 84 months'!BW110</f>
        <v>217990723.12532151</v>
      </c>
      <c r="AS5" s="103">
        <f>'Budget First 84 months'!BX110</f>
        <v>217977223.12532151</v>
      </c>
      <c r="AT5" s="103">
        <f>'Budget First 84 months'!BY110</f>
        <v>217992223.12532151</v>
      </c>
      <c r="AU5" s="103">
        <f>'Budget First 84 months'!BZ110</f>
        <v>217990723.12532151</v>
      </c>
      <c r="AV5" s="103">
        <f>'Budget First 84 months'!CA110</f>
        <v>217972223.12532151</v>
      </c>
      <c r="AW5" s="103">
        <f>'Budget First 84 months'!CB110</f>
        <v>217992223.12532151</v>
      </c>
      <c r="AX5" s="103">
        <f>'Budget First 84 months'!CC110</f>
        <v>217990723.12532151</v>
      </c>
      <c r="AY5" s="103">
        <f>'Budget First 84 months'!CD110</f>
        <v>217990723.12532151</v>
      </c>
      <c r="AZ5" s="103">
        <f>'Budget First 84 months'!CE110</f>
        <v>217951072.30899149</v>
      </c>
      <c r="BA5" s="103">
        <f>'Budget First 84 months'!CF110</f>
        <v>198525013.59227711</v>
      </c>
      <c r="BB5" s="103">
        <f>'Budget First 84 months'!CG110</f>
        <v>193829046.49398059</v>
      </c>
      <c r="BC5" s="103">
        <f>'Budget First 84 months'!CH110</f>
        <v>189085870.89244682</v>
      </c>
      <c r="BD5" s="103">
        <f>'Budget First 84 months'!CI110</f>
        <v>184335722.72390151</v>
      </c>
      <c r="BE5" s="103">
        <f>'Budget First 84 months'!CJ110</f>
        <v>179533335.94409215</v>
      </c>
      <c r="BF5" s="103">
        <f>'Budget First 84 months'!CK110</f>
        <v>174682942.51343423</v>
      </c>
      <c r="BG5" s="103">
        <f>'Budget First 84 months'!CL110</f>
        <v>169824772.38204634</v>
      </c>
      <c r="BH5" s="103">
        <f>'Budget First 84 months'!CM110</f>
        <v>164913553.47467309</v>
      </c>
      <c r="BI5" s="103">
        <f>'Budget First 84 months'!CN110</f>
        <v>159948511.67549449</v>
      </c>
      <c r="BJ5" s="103">
        <f>'Budget First 84 months'!CO110</f>
        <v>154984870.8128221</v>
      </c>
      <c r="BK5" s="103">
        <f>'Budget First 84 months'!CP110</f>
        <v>149962352.64367962</v>
      </c>
      <c r="BL5" s="103">
        <f>'Budget First 84 months'!CQ110</f>
        <v>0</v>
      </c>
    </row>
    <row r="6" spans="1:65" ht="14.25" customHeight="1" x14ac:dyDescent="0.4">
      <c r="B6" t="s">
        <v>186</v>
      </c>
      <c r="C6" s="39">
        <f>'Budget First 84 months'!AH108</f>
        <v>92093378.059624761</v>
      </c>
      <c r="D6" s="39">
        <f>'Budget First 84 months'!AI108</f>
        <v>107312906.45490132</v>
      </c>
      <c r="E6" s="39">
        <f>'Budget First 84 months'!AJ108</f>
        <v>116804565.10017788</v>
      </c>
      <c r="F6" s="39">
        <f>'Budget First 84 months'!AK108</f>
        <v>122832143.67545441</v>
      </c>
      <c r="G6" s="39">
        <f>'Budget First 84 months'!AL108</f>
        <v>126428480.3340643</v>
      </c>
      <c r="H6" s="39">
        <f>'Budget First 84 months'!AM108</f>
        <v>128236600.8340643</v>
      </c>
      <c r="I6" s="39">
        <f>'Budget First 84 months'!AN108</f>
        <v>128218100.8340643</v>
      </c>
      <c r="J6" s="39">
        <f>'Budget First 84 months'!AO108</f>
        <v>128238100.8340643</v>
      </c>
      <c r="K6" s="39">
        <f>'Budget First 84 months'!AP108</f>
        <v>128236600.8340643</v>
      </c>
      <c r="L6" s="39">
        <f>'Budget First 84 months'!AQ108</f>
        <v>1266648987.2976949</v>
      </c>
      <c r="M6" s="39">
        <f>'Budget First 84 months'!AR108</f>
        <v>128194321.38480565</v>
      </c>
      <c r="N6" s="39">
        <f>'Budget First 84 months'!AS108</f>
        <v>128220321.38480565</v>
      </c>
      <c r="O6" s="39">
        <f>'Budget First 84 months'!AT108</f>
        <v>128218821.38480565</v>
      </c>
      <c r="P6" s="39">
        <f>'Budget First 84 months'!AU108</f>
        <v>128205321.38480565</v>
      </c>
      <c r="Q6" s="39">
        <f>'Budget First 84 months'!AV108</f>
        <v>128220321.38480565</v>
      </c>
      <c r="R6" s="39">
        <f>'Budget First 84 months'!AW108</f>
        <v>128218821.38480565</v>
      </c>
      <c r="S6" s="39">
        <f>'Budget First 84 months'!AX108</f>
        <v>128205321.38480565</v>
      </c>
      <c r="T6" s="39">
        <f>'Budget First 84 months'!AY108</f>
        <v>128220321.38480565</v>
      </c>
      <c r="U6" s="39">
        <f>'Budget First 84 months'!AZ108</f>
        <v>128218821.38480565</v>
      </c>
      <c r="V6" s="39">
        <f>'Budget First 84 months'!BA108</f>
        <v>128200321.38480565</v>
      </c>
      <c r="W6" s="39">
        <f>'Budget First 84 months'!BB108</f>
        <v>128220321.38480565</v>
      </c>
      <c r="X6" s="39">
        <f>'Budget First 84 months'!BC108</f>
        <v>128218821.38480565</v>
      </c>
      <c r="Y6" s="39">
        <f>'Budget First 84 months'!BD108</f>
        <v>1538561856.6176677</v>
      </c>
      <c r="Z6" s="39">
        <f>'Budget First 84 months'!BE108</f>
        <v>128179010.75757663</v>
      </c>
      <c r="AA6" s="39">
        <f>'Budget First 84 months'!BF108</f>
        <v>128205010.75757663</v>
      </c>
      <c r="AB6" s="39">
        <f>'Budget First 84 months'!BG108</f>
        <v>128202753.63757662</v>
      </c>
      <c r="AC6" s="39">
        <f>'Budget First 84 months'!BH108</f>
        <v>128189253.63757662</v>
      </c>
      <c r="AD6" s="39">
        <f>'Budget First 84 months'!BI108</f>
        <v>128203466.23277663</v>
      </c>
      <c r="AE6" s="39">
        <f>'Budget First 84 months'!BJ108</f>
        <v>128201966.23277663</v>
      </c>
      <c r="AF6" s="39">
        <f>'Budget First 84 months'!BK108</f>
        <v>128187647.33178464</v>
      </c>
      <c r="AG6" s="39">
        <f>'Budget First 84 months'!BL108</f>
        <v>128202647.33178464</v>
      </c>
      <c r="AH6" s="39">
        <f>'Budget First 84 months'!BM108</f>
        <v>128200295.67475295</v>
      </c>
      <c r="AI6" s="39">
        <f>'Budget First 84 months'!BN108</f>
        <v>128181795.67475295</v>
      </c>
      <c r="AJ6" s="39">
        <f>'Budget First 84 months'!BO108</f>
        <v>128200909.95144001</v>
      </c>
      <c r="AK6" s="39">
        <f>'Budget First 84 months'!BP108</f>
        <v>128199409.95144001</v>
      </c>
      <c r="AL6" s="39">
        <f>'Budget First 84 months'!BQ108</f>
        <v>1538354167.1718154</v>
      </c>
      <c r="AM6" s="39">
        <f>'Budget First 84 months'!BR108</f>
        <v>128159316.65728083</v>
      </c>
      <c r="AN6" s="39">
        <f>'Budget First 84 months'!BS108</f>
        <v>128185316.65728083</v>
      </c>
      <c r="AO6" s="39">
        <f>'Budget First 84 months'!BT108</f>
        <v>128183816.65728083</v>
      </c>
      <c r="AP6" s="39">
        <f>'Budget First 84 months'!BU108</f>
        <v>128170316.65728083</v>
      </c>
      <c r="AQ6" s="39">
        <f>'Budget First 84 months'!BV108</f>
        <v>128185316.65728083</v>
      </c>
      <c r="AR6" s="39">
        <f>'Budget First 84 months'!BW108</f>
        <v>128183816.65728083</v>
      </c>
      <c r="AS6" s="39">
        <f>'Budget First 84 months'!BX108</f>
        <v>128170316.65728083</v>
      </c>
      <c r="AT6" s="39">
        <f>'Budget First 84 months'!BY108</f>
        <v>128185316.65728083</v>
      </c>
      <c r="AU6" s="39">
        <f>'Budget First 84 months'!BZ108</f>
        <v>128183816.65728083</v>
      </c>
      <c r="AV6" s="39">
        <f>'Budget First 84 months'!CA108</f>
        <v>128165316.65728083</v>
      </c>
      <c r="AW6" s="39">
        <f>'Budget First 84 months'!CB108</f>
        <v>128185316.65728083</v>
      </c>
      <c r="AX6" s="39">
        <f>'Budget First 84 months'!CC108</f>
        <v>128183816.65728083</v>
      </c>
      <c r="AY6" s="39">
        <f>'Budget First 84 months'!CD108</f>
        <v>1538141799.8873706</v>
      </c>
      <c r="AZ6" s="39">
        <f>'Budget First 84 months'!CE108</f>
        <v>128144165.84095083</v>
      </c>
      <c r="BA6" s="39">
        <f>'Budget First 84 months'!CF108</f>
        <v>128170165.84095083</v>
      </c>
      <c r="BB6" s="39">
        <f>'Budget First 84 months'!CG108</f>
        <v>128168665.84095083</v>
      </c>
      <c r="BC6" s="39">
        <f>'Budget First 84 months'!CH108</f>
        <v>128155165.84095083</v>
      </c>
      <c r="BD6" s="39">
        <f>'Budget First 84 months'!CI108</f>
        <v>128170165.84095083</v>
      </c>
      <c r="BE6" s="39">
        <f>'Budget First 84 months'!CJ108</f>
        <v>128168665.84095083</v>
      </c>
      <c r="BF6" s="39">
        <f>'Budget First 84 months'!CK108</f>
        <v>128155165.84095083</v>
      </c>
      <c r="BG6" s="39">
        <f>'Budget First 84 months'!CL108</f>
        <v>128170165.84095083</v>
      </c>
      <c r="BH6" s="39">
        <f>'Budget First 84 months'!CM108</f>
        <v>128168665.84095083</v>
      </c>
      <c r="BI6" s="39">
        <f>'Budget First 84 months'!CN108</f>
        <v>128150165.84095083</v>
      </c>
      <c r="BJ6" s="39">
        <f>'Budget First 84 months'!CO108</f>
        <v>128170165.84095083</v>
      </c>
      <c r="BK6" s="39">
        <f>'Budget First 84 months'!CP108</f>
        <v>128168665.84095083</v>
      </c>
      <c r="BL6" s="39">
        <f>'Budget First 84 months'!CQ108</f>
        <v>1537959990.0914104</v>
      </c>
    </row>
    <row r="7" spans="1:65" ht="14.25" customHeight="1" x14ac:dyDescent="0.4">
      <c r="B7" s="426" t="s">
        <v>639</v>
      </c>
      <c r="C7" s="39">
        <f>-'Budget First 84 months'!AH114</f>
        <v>27689588.806588501</v>
      </c>
      <c r="D7" s="39">
        <f>-'Budget First 84 months'!AI114</f>
        <v>5189588.8065885026</v>
      </c>
      <c r="E7" s="39">
        <f>-'Budget First 84 months'!AJ114</f>
        <v>5189588.8065885026</v>
      </c>
      <c r="F7" s="39">
        <f>-'Budget First 84 months'!AK114</f>
        <v>5189588.8065885026</v>
      </c>
      <c r="G7" s="39">
        <f>-'Budget First 84 months'!AL114</f>
        <v>5189588.8065885026</v>
      </c>
      <c r="H7" s="39">
        <f>-'Budget First 84 months'!AM114</f>
        <v>5189588.8065885026</v>
      </c>
      <c r="I7" s="39">
        <f>-'Budget First 84 months'!AN114</f>
        <v>5189588.8065885026</v>
      </c>
      <c r="J7" s="39">
        <f>-'Budget First 84 months'!AO114</f>
        <v>5189588.8065885026</v>
      </c>
      <c r="K7" s="39">
        <f>-'Budget First 84 months'!AP114</f>
        <v>5189588.8065885026</v>
      </c>
      <c r="L7" s="39">
        <f>-'Budget First 84 months'!AQ114</f>
        <v>71801093.662590757</v>
      </c>
      <c r="M7" s="39">
        <f>-'Budget First 84 months'!AR114</f>
        <v>5189588.8065885026</v>
      </c>
      <c r="N7" s="39">
        <f>-'Budget First 84 months'!AS114</f>
        <v>5189588.8065885026</v>
      </c>
      <c r="O7" s="39">
        <f>-'Budget First 84 months'!AT114</f>
        <v>5189588.8065885026</v>
      </c>
      <c r="P7" s="39">
        <f>-'Budget First 84 months'!AU114</f>
        <v>5189588.8065885026</v>
      </c>
      <c r="Q7" s="39">
        <f>-'Budget First 84 months'!AV114</f>
        <v>5189588.8065885026</v>
      </c>
      <c r="R7" s="39">
        <f>-'Budget First 84 months'!AW114</f>
        <v>5189588.8065885026</v>
      </c>
      <c r="S7" s="39">
        <f>-'Budget First 84 months'!AX114</f>
        <v>5189588.8065885026</v>
      </c>
      <c r="T7" s="39">
        <f>-'Budget First 84 months'!AY114</f>
        <v>5189588.8065885026</v>
      </c>
      <c r="U7" s="39">
        <f>-'Budget First 84 months'!AZ114</f>
        <v>5189588.8065885026</v>
      </c>
      <c r="V7" s="39">
        <f>-'Budget First 84 months'!BA114</f>
        <v>5189588.8065885026</v>
      </c>
      <c r="W7" s="39">
        <f>-'Budget First 84 months'!BB114</f>
        <v>5189588.8065885026</v>
      </c>
      <c r="X7" s="39">
        <f>-'Budget First 84 months'!BC114</f>
        <v>5189588.8065885026</v>
      </c>
      <c r="Y7" s="39">
        <f>-'Budget First 84 months'!BD114</f>
        <v>62275065.679062031</v>
      </c>
      <c r="Z7" s="39">
        <f>-'Budget First 84 months'!BE114</f>
        <v>5189588.8065885026</v>
      </c>
      <c r="AA7" s="39">
        <f>-'Budget First 84 months'!BF114</f>
        <v>5189588.8065885026</v>
      </c>
      <c r="AB7" s="39">
        <f>-'Budget First 84 months'!BG114</f>
        <v>5189588.8065885026</v>
      </c>
      <c r="AC7" s="39">
        <f>-'Budget First 84 months'!BH114</f>
        <v>5189588.8065885026</v>
      </c>
      <c r="AD7" s="39">
        <f>-'Budget First 84 months'!BI114</f>
        <v>5189588.8065885026</v>
      </c>
      <c r="AE7" s="39">
        <f>-'Budget First 84 months'!BJ114</f>
        <v>5189588.8065885026</v>
      </c>
      <c r="AF7" s="39">
        <f>-'Budget First 84 months'!BK114</f>
        <v>5189588.8065885026</v>
      </c>
      <c r="AG7" s="39">
        <f>-'Budget First 84 months'!BL114</f>
        <v>5189588.8065885026</v>
      </c>
      <c r="AH7" s="39">
        <f>-'Budget First 84 months'!BM114</f>
        <v>5189588.8065885026</v>
      </c>
      <c r="AI7" s="39">
        <f>-'Budget First 84 months'!BN114</f>
        <v>5189588.8065885026</v>
      </c>
      <c r="AJ7" s="39">
        <f>-'Budget First 84 months'!BO114</f>
        <v>5189588.8065885026</v>
      </c>
      <c r="AK7" s="39">
        <f>-'Budget First 84 months'!BP114</f>
        <v>5189588.8065885026</v>
      </c>
      <c r="AL7" s="39">
        <f>-'Budget First 84 months'!BQ114</f>
        <v>62275065.679062031</v>
      </c>
      <c r="AM7" s="39">
        <f>-'Budget First 84 months'!BR114</f>
        <v>5189588.8065885026</v>
      </c>
      <c r="AN7" s="39">
        <f>-'Budget First 84 months'!BS114</f>
        <v>5189588.8065885026</v>
      </c>
      <c r="AO7" s="39">
        <f>-'Budget First 84 months'!BT114</f>
        <v>5189588.8065885026</v>
      </c>
      <c r="AP7" s="39">
        <f>-'Budget First 84 months'!BU114</f>
        <v>5189588.8065885026</v>
      </c>
      <c r="AQ7" s="39">
        <f>-'Budget First 84 months'!BV114</f>
        <v>5189588.8065885026</v>
      </c>
      <c r="AR7" s="39">
        <f>-'Budget First 84 months'!BW114</f>
        <v>5189588.8065885026</v>
      </c>
      <c r="AS7" s="39">
        <f>-'Budget First 84 months'!BX114</f>
        <v>5189588.8065885026</v>
      </c>
      <c r="AT7" s="39">
        <f>-'Budget First 84 months'!BY114</f>
        <v>5189588.8065885026</v>
      </c>
      <c r="AU7" s="39">
        <f>-'Budget First 84 months'!BZ114</f>
        <v>5189588.8065885026</v>
      </c>
      <c r="AV7" s="39">
        <f>-'Budget First 84 months'!CA114</f>
        <v>5189588.8065885026</v>
      </c>
      <c r="AW7" s="39">
        <f>-'Budget First 84 months'!CB114</f>
        <v>5189588.8065885026</v>
      </c>
      <c r="AX7" s="39">
        <f>-'Budget First 84 months'!CC114</f>
        <v>5189588.8065885026</v>
      </c>
      <c r="AY7" s="39">
        <f>-'Budget First 84 months'!CD114</f>
        <v>62275065.679062039</v>
      </c>
      <c r="AZ7" s="39">
        <f>-'Budget First 84 months'!CE114</f>
        <v>5189588.8065885026</v>
      </c>
      <c r="BA7" s="39">
        <f>-'Budget First 84 months'!CF114</f>
        <v>5189588.8065885026</v>
      </c>
      <c r="BB7" s="39">
        <f>-'Budget First 84 months'!CG114</f>
        <v>5189588.8065885026</v>
      </c>
      <c r="BC7" s="39">
        <f>-'Budget First 84 months'!CH114</f>
        <v>5189588.8065885026</v>
      </c>
      <c r="BD7" s="39">
        <f>-'Budget First 84 months'!CI114</f>
        <v>5189588.8065885026</v>
      </c>
      <c r="BE7" s="39">
        <f>-'Budget First 84 months'!CJ114</f>
        <v>5189588.8065885026</v>
      </c>
      <c r="BF7" s="39">
        <f>-'Budget First 84 months'!CK114</f>
        <v>5189588.8065885026</v>
      </c>
      <c r="BG7" s="39">
        <f>-'Budget First 84 months'!CL114</f>
        <v>5189588.8065885026</v>
      </c>
      <c r="BH7" s="39">
        <f>-'Budget First 84 months'!CM114</f>
        <v>5189588.8065885026</v>
      </c>
      <c r="BI7" s="39">
        <f>-'Budget First 84 months'!CN114</f>
        <v>5189588.8065885026</v>
      </c>
      <c r="BJ7" s="39">
        <f>-'Budget First 84 months'!CO114</f>
        <v>5189588.8065885026</v>
      </c>
      <c r="BK7" s="39">
        <f>-'Budget First 84 months'!CP114</f>
        <v>11341523.531700637</v>
      </c>
      <c r="BL7" s="39">
        <f>-'Budget First 84 months'!CQ114</f>
        <v>68427000.404174149</v>
      </c>
      <c r="BM7" s="39"/>
    </row>
    <row r="8" spans="1:65" ht="14.25" customHeight="1" x14ac:dyDescent="0.4">
      <c r="A8" s="141"/>
      <c r="B8" s="141" t="s">
        <v>187</v>
      </c>
      <c r="C8" s="141">
        <f t="shared" ref="C8:E8" si="0">C6/C7</f>
        <v>3.3259207532078601</v>
      </c>
      <c r="D8" s="141">
        <f t="shared" si="0"/>
        <v>20.678498905088777</v>
      </c>
      <c r="E8" s="141">
        <f t="shared" si="0"/>
        <v>22.507479774098343</v>
      </c>
      <c r="F8" s="141">
        <f t="shared" ref="F8:BL8" si="1">F6/F7</f>
        <v>23.66895495063336</v>
      </c>
      <c r="G8" s="141">
        <f t="shared" si="1"/>
        <v>24.361945627282754</v>
      </c>
      <c r="H8" s="141">
        <f t="shared" si="1"/>
        <v>24.710358684152403</v>
      </c>
      <c r="I8" s="141">
        <f t="shared" si="1"/>
        <v>24.706793854511851</v>
      </c>
      <c r="J8" s="141">
        <f t="shared" si="1"/>
        <v>24.710647724393528</v>
      </c>
      <c r="K8" s="141">
        <f t="shared" si="1"/>
        <v>24.710358684152403</v>
      </c>
      <c r="L8" s="141">
        <f t="shared" si="1"/>
        <v>17.641082087829457</v>
      </c>
      <c r="M8" s="141">
        <f t="shared" si="1"/>
        <v>24.702211709346809</v>
      </c>
      <c r="N8" s="141">
        <f t="shared" si="1"/>
        <v>24.707221740192992</v>
      </c>
      <c r="O8" s="141">
        <f t="shared" si="1"/>
        <v>24.706932699951864</v>
      </c>
      <c r="P8" s="141">
        <f t="shared" si="1"/>
        <v>24.704331337781731</v>
      </c>
      <c r="Q8" s="141">
        <f t="shared" si="1"/>
        <v>24.707221740192992</v>
      </c>
      <c r="R8" s="141">
        <f t="shared" si="1"/>
        <v>24.706932699951864</v>
      </c>
      <c r="S8" s="141">
        <f t="shared" si="1"/>
        <v>24.704331337781731</v>
      </c>
      <c r="T8" s="141">
        <f t="shared" si="1"/>
        <v>24.707221740192992</v>
      </c>
      <c r="U8" s="141">
        <f t="shared" si="1"/>
        <v>24.706932699951864</v>
      </c>
      <c r="V8" s="141">
        <f t="shared" si="1"/>
        <v>24.703367870311315</v>
      </c>
      <c r="W8" s="141">
        <f t="shared" si="1"/>
        <v>24.707221740192992</v>
      </c>
      <c r="X8" s="141">
        <f t="shared" si="1"/>
        <v>24.706932699951864</v>
      </c>
      <c r="Y8" s="141">
        <f t="shared" si="1"/>
        <v>24.705905001316751</v>
      </c>
      <c r="Z8" s="141">
        <f t="shared" si="1"/>
        <v>24.699261451089434</v>
      </c>
      <c r="AA8" s="141">
        <f t="shared" si="1"/>
        <v>24.704271481935617</v>
      </c>
      <c r="AB8" s="141">
        <f t="shared" si="1"/>
        <v>24.703836549596247</v>
      </c>
      <c r="AC8" s="141">
        <f t="shared" si="1"/>
        <v>24.701235187426114</v>
      </c>
      <c r="AD8" s="141">
        <f t="shared" si="1"/>
        <v>24.703973862055204</v>
      </c>
      <c r="AE8" s="141">
        <f t="shared" si="1"/>
        <v>24.703684821814079</v>
      </c>
      <c r="AF8" s="141">
        <f t="shared" si="1"/>
        <v>24.700925662750489</v>
      </c>
      <c r="AG8" s="141">
        <f t="shared" si="1"/>
        <v>24.70381606516175</v>
      </c>
      <c r="AH8" s="141">
        <f t="shared" si="1"/>
        <v>24.703362916151427</v>
      </c>
      <c r="AI8" s="141">
        <f t="shared" si="1"/>
        <v>24.699798086510874</v>
      </c>
      <c r="AJ8" s="141">
        <f t="shared" si="1"/>
        <v>24.703481283272588</v>
      </c>
      <c r="AK8" s="141">
        <f t="shared" si="1"/>
        <v>24.703192243031463</v>
      </c>
      <c r="AL8" s="141">
        <f t="shared" si="1"/>
        <v>24.70256996756628</v>
      </c>
      <c r="AM8" s="141">
        <f t="shared" si="1"/>
        <v>24.695466526090602</v>
      </c>
      <c r="AN8" s="141">
        <f t="shared" si="1"/>
        <v>24.700476556936781</v>
      </c>
      <c r="AO8" s="141">
        <f t="shared" si="1"/>
        <v>24.700187516695653</v>
      </c>
      <c r="AP8" s="141">
        <f t="shared" si="1"/>
        <v>24.697586154525524</v>
      </c>
      <c r="AQ8" s="141">
        <f t="shared" si="1"/>
        <v>24.700476556936781</v>
      </c>
      <c r="AR8" s="141">
        <f t="shared" si="1"/>
        <v>24.700187516695653</v>
      </c>
      <c r="AS8" s="141">
        <f t="shared" si="1"/>
        <v>24.697586154525524</v>
      </c>
      <c r="AT8" s="141">
        <f t="shared" si="1"/>
        <v>24.700476556936781</v>
      </c>
      <c r="AU8" s="141">
        <f t="shared" si="1"/>
        <v>24.700187516695653</v>
      </c>
      <c r="AV8" s="141">
        <f t="shared" si="1"/>
        <v>24.696622687055104</v>
      </c>
      <c r="AW8" s="141">
        <f t="shared" si="1"/>
        <v>24.700476556936781</v>
      </c>
      <c r="AX8" s="141">
        <f t="shared" si="1"/>
        <v>24.700187516695653</v>
      </c>
      <c r="AY8" s="141">
        <f t="shared" si="1"/>
        <v>24.699159818060547</v>
      </c>
      <c r="AZ8" s="141">
        <f t="shared" si="1"/>
        <v>24.69254706235375</v>
      </c>
      <c r="BA8" s="141">
        <f t="shared" si="1"/>
        <v>24.697557093199929</v>
      </c>
      <c r="BB8" s="141">
        <f t="shared" si="1"/>
        <v>24.697268052958805</v>
      </c>
      <c r="BC8" s="141">
        <f t="shared" si="1"/>
        <v>24.694666690788672</v>
      </c>
      <c r="BD8" s="141">
        <f t="shared" si="1"/>
        <v>24.697557093199929</v>
      </c>
      <c r="BE8" s="141">
        <f t="shared" si="1"/>
        <v>24.697268052958805</v>
      </c>
      <c r="BF8" s="141">
        <f t="shared" si="1"/>
        <v>24.694666690788672</v>
      </c>
      <c r="BG8" s="141">
        <f t="shared" si="1"/>
        <v>24.697557093199929</v>
      </c>
      <c r="BH8" s="141">
        <f t="shared" si="1"/>
        <v>24.697268052958805</v>
      </c>
      <c r="BI8" s="141">
        <f t="shared" si="1"/>
        <v>24.693703223318252</v>
      </c>
      <c r="BJ8" s="141">
        <f t="shared" si="1"/>
        <v>24.697557093199929</v>
      </c>
      <c r="BK8" s="141">
        <f t="shared" si="1"/>
        <v>11.300833215458859</v>
      </c>
      <c r="BL8" s="141">
        <f t="shared" si="1"/>
        <v>22.475922969109025</v>
      </c>
      <c r="BM8" s="141"/>
    </row>
    <row r="9" spans="1:65" ht="14.25" customHeight="1" x14ac:dyDescent="0.4"/>
    <row r="10" spans="1:65" ht="14.25" customHeight="1" x14ac:dyDescent="0.4"/>
    <row r="11" spans="1:65" ht="14.25" customHeight="1" x14ac:dyDescent="0.4"/>
    <row r="12" spans="1:65" ht="14.25" customHeight="1" x14ac:dyDescent="0.4"/>
    <row r="13" spans="1:65" ht="14.25" customHeight="1" x14ac:dyDescent="0.4"/>
    <row r="14" spans="1:65" ht="14.25" customHeight="1" x14ac:dyDescent="0.4"/>
    <row r="15" spans="1:65" ht="14.25" customHeight="1" x14ac:dyDescent="0.4"/>
    <row r="16" spans="1:65" ht="14.25" customHeight="1" x14ac:dyDescent="0.4"/>
    <row r="17" ht="14.25" customHeight="1" x14ac:dyDescent="0.4"/>
    <row r="18" ht="14.25" customHeight="1" x14ac:dyDescent="0.4"/>
    <row r="19" ht="14.25" customHeight="1" x14ac:dyDescent="0.4"/>
    <row r="20" ht="14.25" customHeight="1" x14ac:dyDescent="0.4"/>
    <row r="21" ht="14.25" customHeight="1" x14ac:dyDescent="0.4"/>
    <row r="22" ht="14.25" customHeight="1" x14ac:dyDescent="0.4"/>
    <row r="23" ht="14.25" customHeight="1" x14ac:dyDescent="0.4"/>
    <row r="24" ht="14.25" customHeight="1" x14ac:dyDescent="0.4"/>
    <row r="25" ht="14.25" customHeight="1" x14ac:dyDescent="0.4"/>
    <row r="26" ht="14.25" customHeight="1" x14ac:dyDescent="0.4"/>
    <row r="27" ht="14.25" customHeight="1" x14ac:dyDescent="0.4"/>
    <row r="28" ht="14.25" customHeight="1" x14ac:dyDescent="0.4"/>
    <row r="29" ht="14.25" customHeight="1" x14ac:dyDescent="0.4"/>
    <row r="30" ht="14.25" customHeight="1" x14ac:dyDescent="0.4"/>
    <row r="31" ht="14.25" customHeight="1" x14ac:dyDescent="0.4"/>
    <row r="32" ht="14.25" customHeight="1" x14ac:dyDescent="0.4"/>
    <row r="33" ht="14.25" customHeight="1" x14ac:dyDescent="0.4"/>
    <row r="34" ht="14.25" customHeight="1" x14ac:dyDescent="0.4"/>
    <row r="35" ht="14.25" customHeight="1" x14ac:dyDescent="0.4"/>
    <row r="36" ht="14.25" customHeight="1" x14ac:dyDescent="0.4"/>
    <row r="37" ht="14.25" customHeight="1" x14ac:dyDescent="0.4"/>
    <row r="38" ht="14.25" customHeight="1" x14ac:dyDescent="0.4"/>
    <row r="39" ht="14.25" customHeight="1" x14ac:dyDescent="0.4"/>
    <row r="40" ht="14.25" customHeight="1" x14ac:dyDescent="0.4"/>
    <row r="41" ht="14.25" customHeight="1" x14ac:dyDescent="0.4"/>
    <row r="42" ht="14.25" customHeight="1" x14ac:dyDescent="0.4"/>
    <row r="43" ht="14.2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U100"/>
  <sheetViews>
    <sheetView workbookViewId="0">
      <selection activeCell="C20" sqref="C20"/>
    </sheetView>
  </sheetViews>
  <sheetFormatPr defaultColWidth="12.61328125" defaultRowHeight="15" customHeight="1" x14ac:dyDescent="0.4"/>
  <cols>
    <col min="1" max="1" width="2" customWidth="1"/>
    <col min="2" max="2" width="41.53515625" customWidth="1"/>
    <col min="3" max="3" width="13.61328125" bestFit="1" customWidth="1"/>
    <col min="4" max="4" width="11.69140625" customWidth="1"/>
    <col min="5" max="5" width="22.3046875" customWidth="1"/>
    <col min="6" max="6" width="37.53515625" bestFit="1" customWidth="1"/>
    <col min="7" max="7" width="17.921875" customWidth="1"/>
    <col min="8" max="8" width="11" customWidth="1"/>
    <col min="9" max="10" width="16" customWidth="1"/>
    <col min="11" max="21" width="7.69140625" customWidth="1"/>
  </cols>
  <sheetData>
    <row r="1" spans="2:6" ht="14.25" customHeight="1" x14ac:dyDescent="0.4">
      <c r="C1" s="70"/>
      <c r="D1" s="150"/>
      <c r="E1" s="150"/>
    </row>
    <row r="2" spans="2:6" ht="14.25" customHeight="1" x14ac:dyDescent="0.5">
      <c r="B2" s="151" t="s">
        <v>46</v>
      </c>
      <c r="C2" s="152"/>
      <c r="D2" s="153"/>
      <c r="E2" s="153"/>
      <c r="F2" s="154"/>
    </row>
    <row r="3" spans="2:6" ht="14.25" customHeight="1" x14ac:dyDescent="0.4">
      <c r="B3" s="155" t="s">
        <v>255</v>
      </c>
      <c r="C3" s="149" t="s">
        <v>256</v>
      </c>
      <c r="D3" s="156" t="s">
        <v>257</v>
      </c>
      <c r="E3" s="156" t="s">
        <v>258</v>
      </c>
      <c r="F3" s="157"/>
    </row>
    <row r="4" spans="2:6" ht="14.25" customHeight="1" x14ac:dyDescent="0.4">
      <c r="B4" s="158" t="s">
        <v>259</v>
      </c>
      <c r="C4" s="159">
        <v>15282.95</v>
      </c>
      <c r="D4" s="160">
        <v>150</v>
      </c>
      <c r="E4" s="160">
        <f t="shared" ref="E4:E10" si="0">SUM(C4*D4)</f>
        <v>2292442.5</v>
      </c>
      <c r="F4" s="161" t="s">
        <v>260</v>
      </c>
    </row>
    <row r="5" spans="2:6" ht="14.25" customHeight="1" x14ac:dyDescent="0.4">
      <c r="B5" s="162" t="s">
        <v>261</v>
      </c>
      <c r="C5" s="159">
        <v>10017.799999999999</v>
      </c>
      <c r="D5" s="160">
        <v>150</v>
      </c>
      <c r="E5" s="160">
        <f t="shared" si="0"/>
        <v>1502670</v>
      </c>
      <c r="F5" s="161" t="s">
        <v>260</v>
      </c>
    </row>
    <row r="6" spans="2:6" ht="14.25" customHeight="1" x14ac:dyDescent="0.4">
      <c r="B6" s="158" t="s">
        <v>552</v>
      </c>
      <c r="C6" s="70">
        <v>2</v>
      </c>
      <c r="D6" s="160">
        <v>2150000</v>
      </c>
      <c r="E6" s="160">
        <f t="shared" si="0"/>
        <v>4300000</v>
      </c>
      <c r="F6" s="161" t="s">
        <v>262</v>
      </c>
    </row>
    <row r="7" spans="2:6" ht="14.25" customHeight="1" x14ac:dyDescent="0.4">
      <c r="B7" s="158" t="s">
        <v>553</v>
      </c>
      <c r="C7" s="163">
        <v>100</v>
      </c>
      <c r="D7" s="160">
        <v>175000</v>
      </c>
      <c r="E7" s="160">
        <f t="shared" si="0"/>
        <v>17500000</v>
      </c>
      <c r="F7" s="161"/>
    </row>
    <row r="8" spans="2:6" ht="14.25" customHeight="1" x14ac:dyDescent="0.4">
      <c r="B8" s="158" t="s">
        <v>263</v>
      </c>
      <c r="C8" s="70">
        <v>1</v>
      </c>
      <c r="D8" s="160">
        <v>350000</v>
      </c>
      <c r="E8" s="160">
        <f t="shared" si="0"/>
        <v>350000</v>
      </c>
      <c r="F8" s="161"/>
    </row>
    <row r="9" spans="2:6" ht="14.25" customHeight="1" x14ac:dyDescent="0.4">
      <c r="B9" s="158" t="s">
        <v>264</v>
      </c>
      <c r="C9" s="70">
        <v>0.25</v>
      </c>
      <c r="D9" s="160">
        <v>2500000</v>
      </c>
      <c r="E9" s="160">
        <f t="shared" si="0"/>
        <v>625000</v>
      </c>
      <c r="F9" s="161"/>
    </row>
    <row r="10" spans="2:6" ht="14.25" customHeight="1" x14ac:dyDescent="0.4">
      <c r="B10" s="158" t="s">
        <v>265</v>
      </c>
      <c r="C10" s="70">
        <v>1</v>
      </c>
      <c r="D10" s="160">
        <v>500000</v>
      </c>
      <c r="E10" s="160">
        <f t="shared" si="0"/>
        <v>500000</v>
      </c>
      <c r="F10" s="161"/>
    </row>
    <row r="11" spans="2:6" ht="14.25" customHeight="1" x14ac:dyDescent="0.4">
      <c r="B11" s="158" t="s">
        <v>266</v>
      </c>
      <c r="C11" s="70">
        <v>1</v>
      </c>
      <c r="D11" s="160">
        <v>275000</v>
      </c>
      <c r="E11" s="160">
        <v>275000</v>
      </c>
      <c r="F11" s="161"/>
    </row>
    <row r="12" spans="2:6" ht="14.25" customHeight="1" x14ac:dyDescent="0.4">
      <c r="B12" s="158" t="s">
        <v>267</v>
      </c>
      <c r="C12" s="70">
        <v>2</v>
      </c>
      <c r="D12" s="160">
        <v>30000</v>
      </c>
      <c r="E12" s="164">
        <v>60000</v>
      </c>
      <c r="F12" s="161"/>
    </row>
    <row r="13" spans="2:6" ht="14.25" customHeight="1" x14ac:dyDescent="0.4">
      <c r="B13" s="165" t="s">
        <v>268</v>
      </c>
      <c r="C13" s="70"/>
      <c r="D13" s="150"/>
      <c r="E13" s="166">
        <f>SUM(E4:E12)</f>
        <v>27405112.5</v>
      </c>
      <c r="F13" s="161"/>
    </row>
    <row r="14" spans="2:6" ht="14.25" customHeight="1" x14ac:dyDescent="0.4">
      <c r="B14" s="158"/>
      <c r="C14" s="70"/>
      <c r="D14" s="150"/>
      <c r="E14" s="160"/>
      <c r="F14" s="161"/>
    </row>
    <row r="15" spans="2:6" ht="14.25" customHeight="1" x14ac:dyDescent="0.4">
      <c r="B15" s="158" t="s">
        <v>575</v>
      </c>
      <c r="C15" s="70"/>
      <c r="D15" s="150"/>
      <c r="E15" s="160"/>
      <c r="F15" s="161"/>
    </row>
    <row r="16" spans="2:6" ht="14.25" customHeight="1" x14ac:dyDescent="0.4">
      <c r="B16" s="435" t="s">
        <v>581</v>
      </c>
      <c r="C16" s="70"/>
      <c r="D16" s="150"/>
      <c r="E16" s="160"/>
      <c r="F16" s="161"/>
    </row>
    <row r="17" spans="2:21" ht="14.25" customHeight="1" x14ac:dyDescent="0.4">
      <c r="B17" s="167" t="s">
        <v>269</v>
      </c>
      <c r="C17" s="168"/>
      <c r="D17" s="169"/>
      <c r="E17" s="169"/>
      <c r="F17" s="170"/>
    </row>
    <row r="18" spans="2:21" ht="14.25" customHeight="1" x14ac:dyDescent="0.4">
      <c r="B18" s="24"/>
      <c r="C18" s="70"/>
      <c r="D18" s="150"/>
      <c r="E18" s="171"/>
    </row>
    <row r="19" spans="2:21" ht="14.25" customHeight="1" x14ac:dyDescent="0.4">
      <c r="B19" s="172"/>
      <c r="C19" s="173"/>
      <c r="D19" s="174"/>
      <c r="E19" s="175"/>
      <c r="F19" s="176"/>
      <c r="G19" s="176"/>
      <c r="H19" s="176"/>
    </row>
    <row r="20" spans="2:21" ht="14.25" customHeight="1" x14ac:dyDescent="0.4">
      <c r="B20" s="24" t="s">
        <v>270</v>
      </c>
      <c r="C20" s="177" t="s">
        <v>271</v>
      </c>
      <c r="D20" s="174"/>
      <c r="E20" s="175"/>
      <c r="F20" s="176"/>
      <c r="G20" s="176"/>
      <c r="H20" s="176"/>
    </row>
    <row r="21" spans="2:21" ht="14.25" customHeight="1" x14ac:dyDescent="0.4">
      <c r="B21" s="172" t="s">
        <v>272</v>
      </c>
      <c r="C21" s="173"/>
      <c r="D21" s="174"/>
      <c r="E21" s="175"/>
      <c r="F21" s="176"/>
      <c r="G21" s="176"/>
      <c r="H21" s="176"/>
    </row>
    <row r="22" spans="2:21" ht="14.25" customHeight="1" x14ac:dyDescent="0.4">
      <c r="B22" s="24" t="s">
        <v>273</v>
      </c>
      <c r="C22" s="70"/>
      <c r="D22" s="150"/>
      <c r="E22" s="89">
        <f>17014566548</f>
        <v>17014566548</v>
      </c>
      <c r="F22" s="24" t="s">
        <v>274</v>
      </c>
    </row>
    <row r="23" spans="2:21" ht="14.25" customHeight="1" thickBot="1" x14ac:dyDescent="0.45">
      <c r="B23" s="24" t="s">
        <v>275</v>
      </c>
      <c r="C23" s="70"/>
      <c r="D23" s="150"/>
      <c r="E23" s="433">
        <f>E22*0.26</f>
        <v>4423787302.4800005</v>
      </c>
      <c r="F23" s="24" t="s">
        <v>274</v>
      </c>
    </row>
    <row r="24" spans="2:21" ht="14.25" customHeight="1" x14ac:dyDescent="0.4">
      <c r="B24" s="24" t="s">
        <v>554</v>
      </c>
      <c r="C24" s="70"/>
      <c r="D24" s="150"/>
      <c r="E24" s="49">
        <f>E23*0.4</f>
        <v>1769514920.9920003</v>
      </c>
      <c r="F24" s="425" t="s">
        <v>574</v>
      </c>
    </row>
    <row r="25" spans="2:21" ht="14.25" customHeight="1" x14ac:dyDescent="0.4">
      <c r="B25" s="24"/>
      <c r="C25" s="70"/>
      <c r="D25" s="150"/>
      <c r="E25" s="49"/>
      <c r="F25" s="24"/>
      <c r="G25" s="38"/>
      <c r="H25" s="119"/>
      <c r="I25" s="119"/>
    </row>
    <row r="26" spans="2:21" ht="14.25" customHeight="1" x14ac:dyDescent="0.4">
      <c r="B26" s="635" t="s">
        <v>555</v>
      </c>
      <c r="C26" s="179" t="s">
        <v>276</v>
      </c>
      <c r="D26" s="180" t="s">
        <v>277</v>
      </c>
      <c r="E26" s="180" t="s">
        <v>278</v>
      </c>
      <c r="F26" s="24"/>
      <c r="G26" s="38"/>
      <c r="H26" s="119"/>
      <c r="I26" s="119"/>
    </row>
    <row r="27" spans="2:21" ht="14.25" customHeight="1" x14ac:dyDescent="0.4">
      <c r="B27" s="636"/>
      <c r="C27" s="38">
        <f>E22*0.09</f>
        <v>1531310989.3199999</v>
      </c>
      <c r="D27" s="119">
        <v>0.4</v>
      </c>
      <c r="E27" s="39">
        <f t="shared" ref="E27:E29" si="1">C27*D27</f>
        <v>612524395.72800004</v>
      </c>
      <c r="F27" s="24"/>
      <c r="G27" s="38"/>
      <c r="H27" s="119"/>
      <c r="I27" s="119"/>
    </row>
    <row r="28" spans="2:21" ht="14.25" customHeight="1" x14ac:dyDescent="0.4">
      <c r="B28" s="636"/>
      <c r="C28" s="112">
        <f>E22*0.17</f>
        <v>2892476313.1600003</v>
      </c>
      <c r="D28" s="181">
        <v>0.4</v>
      </c>
      <c r="E28" s="110">
        <f t="shared" si="1"/>
        <v>1156990525.2640002</v>
      </c>
      <c r="F28" s="24"/>
      <c r="G28" s="38"/>
      <c r="H28" s="119"/>
      <c r="I28" s="119"/>
    </row>
    <row r="29" spans="2:21" ht="14.25" customHeight="1" x14ac:dyDescent="0.4">
      <c r="B29" s="24"/>
      <c r="C29" s="38">
        <f>SUM(C27:C28)</f>
        <v>4423787302.4800005</v>
      </c>
      <c r="D29" s="119">
        <v>0.4</v>
      </c>
      <c r="E29" s="39">
        <f t="shared" si="1"/>
        <v>1769514920.9920003</v>
      </c>
      <c r="F29" s="24"/>
      <c r="G29" s="38"/>
      <c r="H29" s="119"/>
      <c r="I29" s="119"/>
    </row>
    <row r="30" spans="2:21" ht="14.25" customHeight="1" x14ac:dyDescent="0.4">
      <c r="B30" s="24"/>
      <c r="C30" s="70"/>
      <c r="D30" s="150"/>
      <c r="E30" s="166"/>
    </row>
    <row r="31" spans="2:21" ht="14.25" customHeight="1" x14ac:dyDescent="0.4">
      <c r="B31" s="182"/>
      <c r="C31" s="183"/>
      <c r="D31" s="184"/>
      <c r="E31" s="185"/>
      <c r="F31" s="186"/>
      <c r="G31" s="434"/>
      <c r="H31" s="186"/>
      <c r="I31" s="186"/>
      <c r="J31" s="186"/>
      <c r="K31" s="186"/>
      <c r="L31" s="186"/>
      <c r="M31" s="186"/>
      <c r="N31" s="186"/>
      <c r="O31" s="186"/>
      <c r="P31" s="186"/>
      <c r="Q31" s="186"/>
      <c r="R31" s="186"/>
      <c r="S31" s="186"/>
      <c r="T31" s="186"/>
      <c r="U31" s="186"/>
    </row>
    <row r="32" spans="2:21" ht="14.25" customHeight="1" x14ac:dyDescent="0.4">
      <c r="B32" s="187" t="s">
        <v>583</v>
      </c>
      <c r="C32" s="70"/>
      <c r="D32" s="150"/>
      <c r="E32" s="150"/>
    </row>
    <row r="33" spans="2:8" ht="14.25" customHeight="1" x14ac:dyDescent="0.4">
      <c r="B33" s="187"/>
      <c r="C33" s="70"/>
      <c r="D33" s="150"/>
      <c r="E33" s="150"/>
    </row>
    <row r="34" spans="2:8" ht="14.25" customHeight="1" thickBot="1" x14ac:dyDescent="0.45">
      <c r="B34" s="188" t="s">
        <v>577</v>
      </c>
      <c r="C34" s="70"/>
      <c r="D34" s="150"/>
      <c r="E34" s="150"/>
    </row>
    <row r="35" spans="2:8" ht="32.700000000000003" customHeight="1" thickBot="1" x14ac:dyDescent="0.45">
      <c r="B35" s="637" t="s">
        <v>576</v>
      </c>
      <c r="C35" s="638"/>
      <c r="D35" s="638"/>
      <c r="E35" s="638"/>
      <c r="F35" s="638"/>
      <c r="G35" s="638"/>
      <c r="H35" s="639"/>
    </row>
    <row r="36" spans="2:8" ht="14.25" customHeight="1" x14ac:dyDescent="0.4">
      <c r="B36" s="187"/>
      <c r="C36" s="70"/>
      <c r="D36" s="150"/>
      <c r="E36" s="150"/>
    </row>
    <row r="37" spans="2:8" ht="14.25" customHeight="1" x14ac:dyDescent="0.4">
      <c r="B37" s="187"/>
      <c r="C37" s="70"/>
      <c r="D37" s="150"/>
      <c r="E37" s="150"/>
    </row>
    <row r="38" spans="2:8" ht="14.25" customHeight="1" x14ac:dyDescent="0.4">
      <c r="B38" s="187" t="s">
        <v>279</v>
      </c>
      <c r="C38" s="70"/>
      <c r="D38" s="150"/>
      <c r="E38" s="150"/>
    </row>
    <row r="39" spans="2:8" ht="35.25" customHeight="1" x14ac:dyDescent="0.4">
      <c r="B39" s="640" t="s">
        <v>584</v>
      </c>
      <c r="C39" s="641"/>
      <c r="D39" s="641"/>
      <c r="E39" s="641"/>
      <c r="F39" s="641"/>
      <c r="G39" s="641"/>
      <c r="H39" s="641"/>
    </row>
    <row r="40" spans="2:8" ht="30.75" customHeight="1" x14ac:dyDescent="0.4">
      <c r="B40" s="642" t="s">
        <v>585</v>
      </c>
      <c r="C40" s="641"/>
      <c r="D40" s="641"/>
      <c r="E40" s="641"/>
      <c r="F40" s="641"/>
      <c r="G40" s="641"/>
      <c r="H40" s="641"/>
    </row>
    <row r="41" spans="2:8" ht="14.25" customHeight="1" x14ac:dyDescent="0.4">
      <c r="B41" s="187"/>
      <c r="C41" s="70"/>
      <c r="D41" s="150"/>
      <c r="E41" s="150"/>
    </row>
    <row r="42" spans="2:8" ht="14.25" customHeight="1" x14ac:dyDescent="0.4">
      <c r="B42" s="643" t="s">
        <v>556</v>
      </c>
      <c r="C42" s="644"/>
      <c r="D42" s="644"/>
      <c r="E42" s="644"/>
      <c r="F42" s="189"/>
      <c r="G42" s="189"/>
      <c r="H42" s="189"/>
    </row>
    <row r="43" spans="2:8" ht="15.75" customHeight="1" x14ac:dyDescent="0.4">
      <c r="B43" s="187"/>
      <c r="C43" s="70"/>
      <c r="D43" s="150"/>
      <c r="E43" s="150"/>
    </row>
    <row r="44" spans="2:8" ht="14.25" customHeight="1" x14ac:dyDescent="0.4">
      <c r="B44" s="187"/>
      <c r="C44" s="70"/>
      <c r="D44" s="150"/>
      <c r="E44" s="150"/>
    </row>
    <row r="45" spans="2:8" ht="14.25" customHeight="1" x14ac:dyDescent="0.4">
      <c r="C45" s="70"/>
      <c r="D45" s="150"/>
      <c r="E45" s="150"/>
    </row>
    <row r="46" spans="2:8" ht="14.25" customHeight="1" x14ac:dyDescent="0.4">
      <c r="C46" s="70"/>
      <c r="D46" s="150"/>
      <c r="E46" s="150"/>
    </row>
    <row r="47" spans="2:8" ht="14.25" customHeight="1" x14ac:dyDescent="0.4">
      <c r="C47" s="70"/>
      <c r="D47" s="150"/>
      <c r="E47" s="150"/>
    </row>
    <row r="48" spans="2:8" ht="14.25" customHeight="1" x14ac:dyDescent="0.4">
      <c r="C48" s="70"/>
      <c r="D48" s="150"/>
      <c r="E48" s="150"/>
    </row>
    <row r="49" spans="3:5" ht="14.25" customHeight="1" x14ac:dyDescent="0.4">
      <c r="C49" s="70"/>
      <c r="D49" s="150"/>
      <c r="E49" s="150"/>
    </row>
    <row r="50" spans="3:5" ht="14.25" customHeight="1" x14ac:dyDescent="0.4">
      <c r="C50" s="70"/>
      <c r="D50" s="150"/>
      <c r="E50" s="150"/>
    </row>
    <row r="51" spans="3:5" ht="14.25" customHeight="1" x14ac:dyDescent="0.4">
      <c r="C51" s="70"/>
      <c r="D51" s="150"/>
      <c r="E51" s="150"/>
    </row>
    <row r="52" spans="3:5" ht="14.25" customHeight="1" x14ac:dyDescent="0.4">
      <c r="C52" s="70"/>
      <c r="D52" s="150"/>
      <c r="E52" s="150"/>
    </row>
    <row r="53" spans="3:5" ht="14.25" customHeight="1" x14ac:dyDescent="0.4">
      <c r="C53" s="70"/>
      <c r="D53" s="150"/>
      <c r="E53" s="150"/>
    </row>
    <row r="54" spans="3:5" ht="14.25" customHeight="1" x14ac:dyDescent="0.4">
      <c r="C54" s="70"/>
      <c r="D54" s="150"/>
      <c r="E54" s="150"/>
    </row>
    <row r="55" spans="3:5" ht="14.25" customHeight="1" x14ac:dyDescent="0.4">
      <c r="C55" s="70"/>
      <c r="D55" s="150"/>
      <c r="E55" s="150"/>
    </row>
    <row r="56" spans="3:5" ht="14.25" customHeight="1" x14ac:dyDescent="0.4">
      <c r="C56" s="70"/>
      <c r="D56" s="150"/>
      <c r="E56" s="150"/>
    </row>
    <row r="57" spans="3:5" ht="14.25" customHeight="1" x14ac:dyDescent="0.4">
      <c r="C57" s="70"/>
      <c r="D57" s="150"/>
      <c r="E57" s="150"/>
    </row>
    <row r="58" spans="3:5" ht="14.25" customHeight="1" x14ac:dyDescent="0.4">
      <c r="C58" s="70"/>
      <c r="D58" s="150"/>
      <c r="E58" s="150"/>
    </row>
    <row r="59" spans="3:5" ht="14.25" customHeight="1" x14ac:dyDescent="0.4">
      <c r="C59" s="70"/>
      <c r="D59" s="150"/>
      <c r="E59" s="150"/>
    </row>
    <row r="60" spans="3:5" ht="14.25" customHeight="1" x14ac:dyDescent="0.4">
      <c r="C60" s="70"/>
      <c r="D60" s="150"/>
      <c r="E60" s="150"/>
    </row>
    <row r="61" spans="3:5" ht="14.25" customHeight="1" x14ac:dyDescent="0.4">
      <c r="C61" s="70"/>
      <c r="D61" s="150"/>
      <c r="E61" s="150"/>
    </row>
    <row r="62" spans="3:5" ht="14.25" customHeight="1" x14ac:dyDescent="0.4">
      <c r="C62" s="70"/>
      <c r="D62" s="150"/>
      <c r="E62" s="150"/>
    </row>
    <row r="63" spans="3:5" ht="14.25" customHeight="1" x14ac:dyDescent="0.4">
      <c r="C63" s="70"/>
      <c r="D63" s="150"/>
      <c r="E63" s="150"/>
    </row>
    <row r="64" spans="3:5" ht="14.25" customHeight="1" x14ac:dyDescent="0.4">
      <c r="C64" s="70"/>
      <c r="D64" s="150"/>
      <c r="E64" s="150"/>
    </row>
    <row r="65" spans="3:5" ht="14.25" customHeight="1" x14ac:dyDescent="0.4">
      <c r="C65" s="70"/>
      <c r="D65" s="150"/>
      <c r="E65" s="150"/>
    </row>
    <row r="66" spans="3:5" ht="14.25" customHeight="1" x14ac:dyDescent="0.4">
      <c r="C66" s="70"/>
      <c r="D66" s="150"/>
      <c r="E66" s="150"/>
    </row>
    <row r="67" spans="3:5" ht="14.25" customHeight="1" x14ac:dyDescent="0.4">
      <c r="C67" s="70"/>
      <c r="D67" s="150"/>
      <c r="E67" s="150"/>
    </row>
    <row r="68" spans="3:5" ht="14.25" customHeight="1" x14ac:dyDescent="0.4">
      <c r="C68" s="70"/>
      <c r="D68" s="150"/>
      <c r="E68" s="150"/>
    </row>
    <row r="69" spans="3:5" ht="14.25" customHeight="1" x14ac:dyDescent="0.4">
      <c r="C69" s="70"/>
      <c r="D69" s="150"/>
      <c r="E69" s="150"/>
    </row>
    <row r="70" spans="3:5" ht="14.25" customHeight="1" x14ac:dyDescent="0.4">
      <c r="C70" s="70"/>
      <c r="D70" s="150"/>
      <c r="E70" s="150"/>
    </row>
    <row r="71" spans="3:5" ht="14.25" customHeight="1" x14ac:dyDescent="0.4">
      <c r="C71" s="70"/>
      <c r="D71" s="150"/>
      <c r="E71" s="150"/>
    </row>
    <row r="72" spans="3:5" ht="14.25" customHeight="1" x14ac:dyDescent="0.4">
      <c r="C72" s="70"/>
      <c r="D72" s="150"/>
      <c r="E72" s="150"/>
    </row>
    <row r="73" spans="3:5" ht="14.25" customHeight="1" x14ac:dyDescent="0.4">
      <c r="C73" s="70"/>
      <c r="D73" s="150"/>
      <c r="E73" s="150"/>
    </row>
    <row r="74" spans="3:5" ht="14.25" customHeight="1" x14ac:dyDescent="0.4">
      <c r="C74" s="70"/>
      <c r="D74" s="150"/>
      <c r="E74" s="150"/>
    </row>
    <row r="75" spans="3:5" ht="14.25" customHeight="1" x14ac:dyDescent="0.4">
      <c r="C75" s="70"/>
      <c r="D75" s="150"/>
      <c r="E75" s="150"/>
    </row>
    <row r="76" spans="3:5" ht="14.25" customHeight="1" x14ac:dyDescent="0.4">
      <c r="C76" s="70"/>
      <c r="D76" s="150"/>
      <c r="E76" s="150"/>
    </row>
    <row r="77" spans="3:5" ht="14.25" customHeight="1" x14ac:dyDescent="0.4">
      <c r="C77" s="70"/>
      <c r="D77" s="150"/>
      <c r="E77" s="150"/>
    </row>
    <row r="78" spans="3:5" ht="14.25" customHeight="1" x14ac:dyDescent="0.4">
      <c r="C78" s="70"/>
      <c r="D78" s="150"/>
      <c r="E78" s="150"/>
    </row>
    <row r="79" spans="3:5" ht="14.25" customHeight="1" x14ac:dyDescent="0.4">
      <c r="C79" s="70"/>
      <c r="D79" s="150"/>
      <c r="E79" s="150"/>
    </row>
    <row r="80" spans="3:5" ht="14.25" customHeight="1" x14ac:dyDescent="0.4">
      <c r="C80" s="70"/>
      <c r="D80" s="150"/>
      <c r="E80" s="150"/>
    </row>
    <row r="81" spans="3:5" ht="14.25" customHeight="1" x14ac:dyDescent="0.4">
      <c r="C81" s="70"/>
      <c r="D81" s="150"/>
      <c r="E81" s="150"/>
    </row>
    <row r="82" spans="3:5" ht="14.25" customHeight="1" x14ac:dyDescent="0.4">
      <c r="C82" s="70"/>
      <c r="D82" s="150"/>
      <c r="E82" s="150"/>
    </row>
    <row r="83" spans="3:5" ht="14.25" customHeight="1" x14ac:dyDescent="0.4">
      <c r="C83" s="70"/>
      <c r="D83" s="150"/>
      <c r="E83" s="150"/>
    </row>
    <row r="84" spans="3:5" ht="14.25" customHeight="1" x14ac:dyDescent="0.4">
      <c r="C84" s="70"/>
      <c r="D84" s="150"/>
      <c r="E84" s="150"/>
    </row>
    <row r="85" spans="3:5" ht="14.25" customHeight="1" x14ac:dyDescent="0.4">
      <c r="C85" s="70"/>
      <c r="D85" s="150"/>
      <c r="E85" s="150"/>
    </row>
    <row r="86" spans="3:5" ht="14.25" customHeight="1" x14ac:dyDescent="0.4">
      <c r="C86" s="70"/>
      <c r="D86" s="150"/>
      <c r="E86" s="150"/>
    </row>
    <row r="87" spans="3:5" ht="14.25" customHeight="1" x14ac:dyDescent="0.4">
      <c r="C87" s="70"/>
      <c r="D87" s="150"/>
      <c r="E87" s="150"/>
    </row>
    <row r="88" spans="3:5" ht="14.25" customHeight="1" x14ac:dyDescent="0.4">
      <c r="C88" s="70"/>
      <c r="D88" s="150"/>
      <c r="E88" s="150"/>
    </row>
    <row r="89" spans="3:5" ht="14.25" customHeight="1" x14ac:dyDescent="0.4">
      <c r="C89" s="70"/>
      <c r="D89" s="150"/>
      <c r="E89" s="150"/>
    </row>
    <row r="90" spans="3:5" ht="14.25" customHeight="1" x14ac:dyDescent="0.4">
      <c r="C90" s="70"/>
      <c r="D90" s="150"/>
      <c r="E90" s="150"/>
    </row>
    <row r="91" spans="3:5" ht="14.25" customHeight="1" x14ac:dyDescent="0.4">
      <c r="C91" s="70"/>
      <c r="D91" s="150"/>
      <c r="E91" s="150"/>
    </row>
    <row r="92" spans="3:5" ht="14.25" customHeight="1" x14ac:dyDescent="0.4">
      <c r="C92" s="70"/>
      <c r="D92" s="150"/>
      <c r="E92" s="150"/>
    </row>
    <row r="93" spans="3:5" ht="14.25" customHeight="1" x14ac:dyDescent="0.4">
      <c r="C93" s="70"/>
      <c r="D93" s="150"/>
      <c r="E93" s="150"/>
    </row>
    <row r="94" spans="3:5" ht="14.25" customHeight="1" x14ac:dyDescent="0.4">
      <c r="C94" s="70"/>
      <c r="D94" s="150"/>
      <c r="E94" s="150"/>
    </row>
    <row r="95" spans="3:5" ht="14.25" customHeight="1" x14ac:dyDescent="0.4">
      <c r="C95" s="70"/>
      <c r="D95" s="150"/>
      <c r="E95" s="150"/>
    </row>
    <row r="96" spans="3:5" ht="14.25" customHeight="1" x14ac:dyDescent="0.4">
      <c r="C96" s="70"/>
      <c r="D96" s="150"/>
      <c r="E96" s="150"/>
    </row>
    <row r="97" spans="3:5" ht="14.25" customHeight="1" x14ac:dyDescent="0.4">
      <c r="C97" s="70"/>
      <c r="D97" s="150"/>
      <c r="E97" s="150"/>
    </row>
    <row r="98" spans="3:5" ht="14.25" customHeight="1" x14ac:dyDescent="0.4">
      <c r="C98" s="70"/>
      <c r="D98" s="150"/>
      <c r="E98" s="150"/>
    </row>
    <row r="99" spans="3:5" ht="14.25" customHeight="1" x14ac:dyDescent="0.4">
      <c r="C99" s="70"/>
      <c r="D99" s="150"/>
      <c r="E99" s="150"/>
    </row>
    <row r="100" spans="3:5" ht="14.25" customHeight="1" x14ac:dyDescent="0.4">
      <c r="C100" s="70"/>
      <c r="D100" s="150"/>
      <c r="E100" s="150"/>
    </row>
  </sheetData>
  <mergeCells count="5">
    <mergeCell ref="B26:B28"/>
    <mergeCell ref="B35:H35"/>
    <mergeCell ref="B39:H39"/>
    <mergeCell ref="B40:H40"/>
    <mergeCell ref="B42:E4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77D19-8DC3-4D8A-89EF-5680E3969709}">
  <dimension ref="A1:F3"/>
  <sheetViews>
    <sheetView workbookViewId="0">
      <selection activeCell="B25" sqref="B25"/>
    </sheetView>
  </sheetViews>
  <sheetFormatPr defaultRowHeight="14.6" x14ac:dyDescent="0.4"/>
  <sheetData>
    <row r="1" spans="1:6" ht="18.45" x14ac:dyDescent="0.5">
      <c r="A1" s="645" t="s">
        <v>46</v>
      </c>
      <c r="B1" s="646"/>
      <c r="C1" s="646"/>
      <c r="D1" s="646"/>
    </row>
    <row r="3" spans="1:6" ht="18.45" x14ac:dyDescent="0.5">
      <c r="F3" s="608" t="s">
        <v>662</v>
      </c>
    </row>
  </sheetData>
  <mergeCells count="1">
    <mergeCell ref="A1:D1"/>
  </mergeCells>
  <pageMargins left="0.7" right="0.7" top="0.75" bottom="0.75" header="0.3" footer="0.3"/>
  <pageSetup orientation="portrait" r:id="rId1"/>
  <drawing r:id="rId2"/>
  <legacyDrawing r:id="rId3"/>
  <oleObjects>
    <mc:AlternateContent xmlns:mc="http://schemas.openxmlformats.org/markup-compatibility/2006">
      <mc:Choice Requires="x14">
        <oleObject progId="Document" shapeId="21554" r:id="rId4">
          <objectPr defaultSize="0" autoPict="0" r:id="rId5">
            <anchor moveWithCells="1">
              <from>
                <xdr:col>4</xdr:col>
                <xdr:colOff>87086</xdr:colOff>
                <xdr:row>6</xdr:row>
                <xdr:rowOff>16329</xdr:rowOff>
              </from>
              <to>
                <xdr:col>16</xdr:col>
                <xdr:colOff>185057</xdr:colOff>
                <xdr:row>60</xdr:row>
                <xdr:rowOff>81643</xdr:rowOff>
              </to>
            </anchor>
          </objectPr>
        </oleObject>
      </mc:Choice>
      <mc:Fallback>
        <oleObject progId="Document" shapeId="21554"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DADADA"/>
  </sheetPr>
  <dimension ref="A1:AQ101"/>
  <sheetViews>
    <sheetView workbookViewId="0">
      <selection activeCell="K19" sqref="K19"/>
    </sheetView>
  </sheetViews>
  <sheetFormatPr defaultColWidth="12.61328125" defaultRowHeight="15" customHeight="1" x14ac:dyDescent="0.4"/>
  <cols>
    <col min="1" max="1" width="5.53515625" customWidth="1"/>
    <col min="2" max="2" width="40.61328125" bestFit="1" customWidth="1"/>
    <col min="3" max="3" width="12" customWidth="1"/>
    <col min="4" max="4" width="4.69140625" customWidth="1"/>
    <col min="5" max="5" width="12.765625" customWidth="1"/>
    <col min="6" max="6" width="11.84375" customWidth="1"/>
    <col min="7" max="7" width="12.765625" customWidth="1"/>
    <col min="8" max="14" width="11.84375" customWidth="1"/>
    <col min="15" max="15" width="4.3046875" customWidth="1"/>
    <col min="16" max="16" width="4.69140625" customWidth="1"/>
    <col min="17" max="17" width="4" customWidth="1"/>
    <col min="18" max="18" width="3.765625" customWidth="1"/>
    <col min="19" max="19" width="4.69140625" customWidth="1"/>
    <col min="20" max="20" width="4" customWidth="1"/>
    <col min="21" max="21" width="4.3046875" customWidth="1"/>
    <col min="22" max="23" width="4.69140625" customWidth="1"/>
    <col min="24" max="25" width="4" customWidth="1"/>
    <col min="26" max="26" width="4.69140625" customWidth="1"/>
    <col min="27" max="27" width="4.3046875" customWidth="1"/>
    <col min="28" max="28" width="4.69140625" customWidth="1"/>
    <col min="29" max="29" width="4" customWidth="1"/>
    <col min="30" max="30" width="3.765625" customWidth="1"/>
    <col min="31" max="31" width="4.69140625" customWidth="1"/>
    <col min="32" max="32" width="4" customWidth="1"/>
    <col min="33" max="33" width="4.3046875" customWidth="1"/>
    <col min="34" max="35" width="4.69140625" customWidth="1"/>
    <col min="36" max="37" width="4" customWidth="1"/>
    <col min="38" max="38" width="4.69140625" customWidth="1"/>
    <col min="39" max="39" width="4.3046875" customWidth="1"/>
    <col min="40" max="40" width="4.69140625" customWidth="1"/>
    <col min="41" max="41" width="4" customWidth="1"/>
    <col min="42" max="42" width="3.765625" customWidth="1"/>
    <col min="43" max="43" width="4.69140625" customWidth="1"/>
  </cols>
  <sheetData>
    <row r="1" spans="1:43" ht="18.899999999999999" thickBot="1" x14ac:dyDescent="0.55000000000000004">
      <c r="A1" s="436" t="s">
        <v>582</v>
      </c>
      <c r="B1" s="437"/>
      <c r="C1" s="437"/>
      <c r="D1" s="437"/>
      <c r="E1" s="437"/>
    </row>
    <row r="2" spans="1:43" ht="14.25" customHeight="1" thickBot="1" x14ac:dyDescent="0.45">
      <c r="A2" s="647" t="s">
        <v>280</v>
      </c>
      <c r="B2" s="636"/>
      <c r="C2" s="636"/>
      <c r="D2" s="636"/>
      <c r="E2" s="636"/>
      <c r="F2" s="636"/>
      <c r="G2" s="636"/>
      <c r="H2" s="636"/>
      <c r="I2" s="636"/>
      <c r="J2" s="636"/>
      <c r="K2" s="636"/>
      <c r="L2" s="636"/>
      <c r="M2" s="636"/>
      <c r="N2" s="636"/>
      <c r="O2" s="636"/>
      <c r="P2" s="636"/>
      <c r="Q2" s="636"/>
      <c r="R2" s="636"/>
      <c r="S2" s="636"/>
      <c r="T2" s="636"/>
      <c r="U2" s="636"/>
      <c r="V2" s="636"/>
      <c r="W2" s="636"/>
      <c r="X2" s="636"/>
      <c r="Y2" s="636"/>
      <c r="Z2" s="636"/>
      <c r="AA2" s="636"/>
      <c r="AB2" s="636"/>
      <c r="AC2" s="636"/>
      <c r="AD2" s="636"/>
      <c r="AE2" s="636"/>
      <c r="AF2" s="636"/>
      <c r="AG2" s="636"/>
      <c r="AH2" s="636"/>
      <c r="AI2" s="636"/>
      <c r="AJ2" s="636"/>
      <c r="AK2" s="636"/>
      <c r="AL2" s="636"/>
      <c r="AM2" s="636"/>
      <c r="AN2" s="636"/>
      <c r="AO2" s="636"/>
      <c r="AP2" s="636"/>
      <c r="AQ2" s="636"/>
    </row>
    <row r="3" spans="1:43" ht="46.5" customHeight="1" thickBot="1" x14ac:dyDescent="0.5">
      <c r="A3" s="190" t="s">
        <v>281</v>
      </c>
      <c r="B3" s="190" t="s">
        <v>282</v>
      </c>
      <c r="C3" s="191">
        <v>1</v>
      </c>
      <c r="D3" s="192">
        <v>2</v>
      </c>
      <c r="E3" s="191">
        <v>3</v>
      </c>
      <c r="F3" s="192">
        <v>4</v>
      </c>
      <c r="G3" s="191">
        <v>5</v>
      </c>
      <c r="H3" s="192">
        <v>6</v>
      </c>
      <c r="I3" s="191">
        <v>7</v>
      </c>
      <c r="J3" s="192">
        <v>8</v>
      </c>
      <c r="K3" s="193">
        <v>9</v>
      </c>
      <c r="L3" s="192">
        <v>10</v>
      </c>
      <c r="M3" s="191">
        <v>11</v>
      </c>
      <c r="N3" s="192">
        <v>12</v>
      </c>
      <c r="O3" s="191">
        <v>13</v>
      </c>
      <c r="P3" s="192">
        <v>14</v>
      </c>
      <c r="Q3" s="191">
        <v>15</v>
      </c>
      <c r="R3" s="192">
        <v>16</v>
      </c>
      <c r="S3" s="191">
        <v>17</v>
      </c>
      <c r="T3" s="192">
        <v>18</v>
      </c>
      <c r="U3" s="191">
        <v>19</v>
      </c>
      <c r="V3" s="192">
        <v>20</v>
      </c>
      <c r="W3" s="191">
        <v>21</v>
      </c>
      <c r="X3" s="194"/>
      <c r="Y3" s="194"/>
      <c r="Z3" s="194"/>
      <c r="AA3" s="194"/>
      <c r="AB3" s="194"/>
      <c r="AC3" s="194"/>
      <c r="AD3" s="194"/>
      <c r="AE3" s="194"/>
      <c r="AF3" s="194"/>
      <c r="AG3" s="194"/>
      <c r="AH3" s="194"/>
      <c r="AI3" s="194"/>
      <c r="AJ3" s="194"/>
      <c r="AK3" s="194"/>
      <c r="AL3" s="194"/>
      <c r="AM3" s="194"/>
      <c r="AN3" s="194"/>
      <c r="AO3" s="194"/>
      <c r="AP3" s="194"/>
      <c r="AQ3" s="194"/>
    </row>
    <row r="4" spans="1:43" ht="46.5" customHeight="1" thickBot="1" x14ac:dyDescent="0.5">
      <c r="A4" s="190" t="s">
        <v>283</v>
      </c>
      <c r="B4" s="518" t="s">
        <v>666</v>
      </c>
      <c r="C4" s="196"/>
      <c r="D4" s="197"/>
      <c r="E4" s="197"/>
      <c r="F4" s="197"/>
      <c r="G4" s="197"/>
      <c r="H4" s="198"/>
      <c r="I4" s="198"/>
      <c r="J4" s="198"/>
      <c r="K4" s="199"/>
      <c r="L4" s="200"/>
      <c r="M4" s="198"/>
      <c r="N4" s="198"/>
      <c r="O4" s="198"/>
      <c r="P4" s="198"/>
      <c r="Q4" s="198"/>
      <c r="R4" s="198"/>
      <c r="S4" s="198"/>
      <c r="T4" s="198"/>
      <c r="U4" s="198"/>
      <c r="V4" s="198"/>
      <c r="W4" s="201"/>
    </row>
    <row r="5" spans="1:43" ht="46.5" customHeight="1" thickBot="1" x14ac:dyDescent="0.45">
      <c r="A5" s="202"/>
      <c r="B5" s="203" t="s">
        <v>284</v>
      </c>
      <c r="C5" s="204">
        <v>9407729</v>
      </c>
      <c r="D5" s="205"/>
      <c r="E5" s="205"/>
      <c r="F5" s="205"/>
      <c r="G5" s="205"/>
      <c r="H5" s="206"/>
      <c r="I5" s="206"/>
      <c r="J5" s="206"/>
      <c r="K5" s="207"/>
      <c r="L5" s="208"/>
      <c r="M5" s="206"/>
      <c r="N5" s="206"/>
      <c r="O5" s="206"/>
      <c r="P5" s="206"/>
      <c r="Q5" s="206"/>
      <c r="R5" s="206"/>
      <c r="S5" s="206"/>
      <c r="T5" s="206"/>
      <c r="U5" s="206"/>
      <c r="V5" s="206"/>
      <c r="W5" s="209"/>
    </row>
    <row r="6" spans="1:43" ht="46.5" customHeight="1" x14ac:dyDescent="0.4">
      <c r="A6" s="210"/>
      <c r="B6" s="211" t="s">
        <v>285</v>
      </c>
      <c r="C6" s="212"/>
      <c r="D6" s="213"/>
      <c r="E6" s="204">
        <f>C5*0.5</f>
        <v>4703864.5</v>
      </c>
      <c r="F6" s="213"/>
      <c r="G6" s="213"/>
      <c r="H6" s="26"/>
      <c r="I6" s="26"/>
      <c r="J6" s="26"/>
      <c r="K6" s="214"/>
      <c r="L6" s="215"/>
      <c r="M6" s="26"/>
      <c r="N6" s="26"/>
      <c r="O6" s="26"/>
      <c r="P6" s="26"/>
      <c r="Q6" s="26"/>
      <c r="R6" s="26"/>
      <c r="S6" s="26"/>
      <c r="T6" s="26"/>
      <c r="U6" s="26"/>
      <c r="V6" s="26"/>
      <c r="W6" s="216"/>
    </row>
    <row r="7" spans="1:43" ht="46.5" customHeight="1" x14ac:dyDescent="0.4">
      <c r="A7" s="210"/>
      <c r="B7" s="211" t="s">
        <v>286</v>
      </c>
      <c r="C7" s="212"/>
      <c r="D7" s="213"/>
      <c r="E7" s="213"/>
      <c r="F7" s="204">
        <f>C5*0.3</f>
        <v>2822318.6999999997</v>
      </c>
      <c r="G7" s="213"/>
      <c r="H7" s="26"/>
      <c r="I7" s="26"/>
      <c r="J7" s="26"/>
      <c r="K7" s="214"/>
      <c r="L7" s="215"/>
      <c r="M7" s="26"/>
      <c r="N7" s="26"/>
      <c r="O7" s="26"/>
      <c r="P7" s="26"/>
      <c r="Q7" s="26"/>
      <c r="R7" s="26"/>
      <c r="S7" s="26"/>
      <c r="T7" s="26"/>
      <c r="U7" s="26"/>
      <c r="V7" s="26"/>
      <c r="W7" s="216"/>
    </row>
    <row r="8" spans="1:43" ht="46.5" customHeight="1" x14ac:dyDescent="0.4">
      <c r="A8" s="217"/>
      <c r="B8" s="218" t="s">
        <v>287</v>
      </c>
      <c r="C8" s="219"/>
      <c r="D8" s="220"/>
      <c r="E8" s="220"/>
      <c r="F8" s="220"/>
      <c r="G8" s="204">
        <f>C5*0.2</f>
        <v>1881545.8</v>
      </c>
      <c r="H8" s="221"/>
      <c r="I8" s="221"/>
      <c r="J8" s="221"/>
      <c r="K8" s="222"/>
      <c r="L8" s="223"/>
      <c r="M8" s="221"/>
      <c r="N8" s="221"/>
      <c r="O8" s="221"/>
      <c r="P8" s="221"/>
      <c r="Q8" s="221"/>
      <c r="R8" s="221"/>
      <c r="S8" s="221"/>
      <c r="T8" s="221"/>
      <c r="U8" s="221"/>
      <c r="V8" s="221"/>
      <c r="W8" s="224"/>
    </row>
    <row r="9" spans="1:43" ht="46.5" customHeight="1" x14ac:dyDescent="0.45">
      <c r="A9" s="225" t="s">
        <v>288</v>
      </c>
      <c r="B9" s="226" t="s">
        <v>557</v>
      </c>
      <c r="C9" s="200"/>
      <c r="D9" s="198"/>
      <c r="E9" s="196"/>
      <c r="F9" s="196"/>
      <c r="G9" s="196"/>
      <c r="H9" s="196"/>
      <c r="I9" s="196"/>
      <c r="J9" s="198"/>
      <c r="K9" s="199"/>
      <c r="L9" s="200"/>
      <c r="M9" s="198"/>
      <c r="N9" s="198"/>
      <c r="O9" s="198"/>
      <c r="P9" s="198"/>
      <c r="Q9" s="198"/>
      <c r="R9" s="198"/>
      <c r="S9" s="198"/>
      <c r="T9" s="198"/>
      <c r="U9" s="198"/>
      <c r="V9" s="198"/>
      <c r="W9" s="201"/>
    </row>
    <row r="10" spans="1:43" ht="46.5" customHeight="1" x14ac:dyDescent="0.4">
      <c r="A10" s="210"/>
      <c r="B10" s="203" t="s">
        <v>289</v>
      </c>
      <c r="C10" s="208"/>
      <c r="D10" s="206"/>
      <c r="E10" s="204">
        <f>17770621*0.5</f>
        <v>8885310.5</v>
      </c>
      <c r="F10" s="206"/>
      <c r="G10" s="206"/>
      <c r="H10" s="206"/>
      <c r="I10" s="206"/>
      <c r="J10" s="206"/>
      <c r="K10" s="614"/>
      <c r="L10" s="208"/>
      <c r="M10" s="206"/>
      <c r="N10" s="206"/>
      <c r="O10" s="206"/>
      <c r="P10" s="206"/>
      <c r="Q10" s="206"/>
      <c r="R10" s="206"/>
      <c r="S10" s="206"/>
      <c r="T10" s="206"/>
      <c r="U10" s="206"/>
      <c r="V10" s="206"/>
      <c r="W10" s="209"/>
    </row>
    <row r="11" spans="1:43" ht="46.5" customHeight="1" x14ac:dyDescent="0.4">
      <c r="A11" s="210"/>
      <c r="B11" s="211" t="s">
        <v>285</v>
      </c>
      <c r="C11" s="215"/>
      <c r="D11" s="26"/>
      <c r="E11" s="26"/>
      <c r="F11" s="26"/>
      <c r="G11" s="204">
        <f>E10*0.5</f>
        <v>4442655.25</v>
      </c>
      <c r="H11" s="26"/>
      <c r="I11" s="26"/>
      <c r="J11" s="26"/>
      <c r="K11" s="214"/>
      <c r="L11" s="215"/>
      <c r="M11" s="26"/>
      <c r="N11" s="26"/>
      <c r="O11" s="26"/>
      <c r="P11" s="26"/>
      <c r="Q11" s="26"/>
      <c r="R11" s="26"/>
      <c r="S11" s="26"/>
      <c r="T11" s="26"/>
      <c r="U11" s="26"/>
      <c r="V11" s="26"/>
      <c r="W11" s="216"/>
    </row>
    <row r="12" spans="1:43" ht="46.5" customHeight="1" x14ac:dyDescent="0.4">
      <c r="A12" s="210"/>
      <c r="B12" s="211" t="s">
        <v>286</v>
      </c>
      <c r="C12" s="215"/>
      <c r="D12" s="26"/>
      <c r="E12" s="26"/>
      <c r="F12" s="26"/>
      <c r="G12" s="26"/>
      <c r="H12" s="204">
        <f>E10*0.3</f>
        <v>2665593.15</v>
      </c>
      <c r="I12" s="26"/>
      <c r="J12" s="26"/>
      <c r="K12" s="214"/>
      <c r="L12" s="215"/>
      <c r="M12" s="26"/>
      <c r="N12" s="26"/>
      <c r="O12" s="26"/>
      <c r="P12" s="26"/>
      <c r="Q12" s="26"/>
      <c r="R12" s="26"/>
      <c r="S12" s="26"/>
      <c r="T12" s="26"/>
      <c r="U12" s="26"/>
      <c r="V12" s="26"/>
      <c r="W12" s="216"/>
    </row>
    <row r="13" spans="1:43" ht="46.5" customHeight="1" x14ac:dyDescent="0.4">
      <c r="A13" s="217"/>
      <c r="B13" s="218" t="s">
        <v>287</v>
      </c>
      <c r="C13" s="223"/>
      <c r="D13" s="221"/>
      <c r="E13" s="221"/>
      <c r="F13" s="221"/>
      <c r="G13" s="221"/>
      <c r="H13" s="221"/>
      <c r="I13" s="204">
        <v>1972773</v>
      </c>
      <c r="J13" s="221"/>
      <c r="K13" s="222"/>
      <c r="L13" s="223"/>
      <c r="M13" s="221"/>
      <c r="N13" s="221"/>
      <c r="O13" s="221"/>
      <c r="P13" s="221"/>
      <c r="Q13" s="221"/>
      <c r="R13" s="221"/>
      <c r="S13" s="221"/>
      <c r="T13" s="221"/>
      <c r="U13" s="221"/>
      <c r="V13" s="221"/>
      <c r="W13" s="224"/>
    </row>
    <row r="14" spans="1:43" ht="46.5" customHeight="1" thickBot="1" x14ac:dyDescent="0.5">
      <c r="A14" s="190" t="s">
        <v>290</v>
      </c>
      <c r="B14" s="195" t="s">
        <v>291</v>
      </c>
      <c r="C14" s="200"/>
      <c r="D14" s="198"/>
      <c r="E14" s="198"/>
      <c r="F14" s="198"/>
      <c r="G14" s="196"/>
      <c r="H14" s="196"/>
      <c r="I14" s="196"/>
      <c r="J14" s="196"/>
      <c r="K14" s="196"/>
      <c r="L14" s="196"/>
      <c r="M14" s="196"/>
      <c r="N14" s="198"/>
      <c r="O14" s="198"/>
      <c r="P14" s="198"/>
      <c r="Q14" s="198"/>
      <c r="R14" s="198"/>
      <c r="S14" s="198"/>
      <c r="T14" s="198"/>
      <c r="U14" s="198"/>
      <c r="V14" s="198"/>
      <c r="W14" s="201"/>
    </row>
    <row r="15" spans="1:43" ht="46.5" customHeight="1" thickBot="1" x14ac:dyDescent="0.45">
      <c r="A15" s="202"/>
      <c r="B15" s="203" t="s">
        <v>289</v>
      </c>
      <c r="C15" s="208"/>
      <c r="D15" s="206"/>
      <c r="E15" s="204">
        <f>16139095*0.5</f>
        <v>8069547.5</v>
      </c>
      <c r="F15" s="206"/>
      <c r="G15" s="206"/>
      <c r="I15" s="206"/>
      <c r="J15" s="206"/>
      <c r="K15" s="207"/>
      <c r="L15" s="208"/>
      <c r="M15" s="206"/>
      <c r="N15" s="206"/>
      <c r="O15" s="206"/>
      <c r="P15" s="206"/>
      <c r="Q15" s="206"/>
      <c r="R15" s="206"/>
      <c r="S15" s="206"/>
      <c r="T15" s="206"/>
      <c r="U15" s="206"/>
      <c r="V15" s="206"/>
      <c r="W15" s="209"/>
    </row>
    <row r="16" spans="1:43" ht="46.5" customHeight="1" thickBot="1" x14ac:dyDescent="0.45">
      <c r="A16" s="210"/>
      <c r="B16" s="211" t="s">
        <v>285</v>
      </c>
      <c r="C16" s="215"/>
      <c r="D16" s="26"/>
      <c r="E16" s="26"/>
      <c r="F16" s="26"/>
      <c r="G16" s="26"/>
      <c r="H16" s="26"/>
      <c r="I16" s="204">
        <f>E15*0.5</f>
        <v>4034773.75</v>
      </c>
      <c r="J16" s="26"/>
      <c r="K16" s="214"/>
      <c r="L16" s="215"/>
      <c r="M16" s="26"/>
      <c r="N16" s="26"/>
      <c r="O16" s="26"/>
      <c r="P16" s="26"/>
      <c r="Q16" s="26"/>
      <c r="R16" s="26"/>
      <c r="S16" s="26"/>
      <c r="T16" s="26"/>
      <c r="U16" s="26"/>
      <c r="V16" s="26"/>
      <c r="W16" s="216"/>
    </row>
    <row r="17" spans="1:23" ht="46.5" customHeight="1" x14ac:dyDescent="0.4">
      <c r="A17" s="210"/>
      <c r="B17" s="211" t="s">
        <v>286</v>
      </c>
      <c r="C17" s="215"/>
      <c r="D17" s="26"/>
      <c r="E17" s="26"/>
      <c r="F17" s="26"/>
      <c r="G17" s="26"/>
      <c r="H17" s="26"/>
      <c r="I17" s="26"/>
      <c r="J17" s="26"/>
      <c r="K17" s="519">
        <f>(E15*0.3) + 195711</f>
        <v>2616575.25</v>
      </c>
      <c r="L17" s="215"/>
      <c r="M17" s="26"/>
      <c r="N17" s="26"/>
      <c r="O17" s="26"/>
      <c r="P17" s="26"/>
      <c r="Q17" s="26"/>
      <c r="R17" s="26"/>
      <c r="S17" s="26"/>
      <c r="T17" s="26"/>
      <c r="U17" s="26"/>
      <c r="V17" s="26"/>
      <c r="W17" s="216"/>
    </row>
    <row r="18" spans="1:23" ht="46.5" customHeight="1" x14ac:dyDescent="0.4">
      <c r="A18" s="217"/>
      <c r="B18" s="227" t="s">
        <v>287</v>
      </c>
      <c r="C18" s="228"/>
      <c r="D18" s="229"/>
      <c r="E18" s="229"/>
      <c r="F18" s="229"/>
      <c r="G18" s="229"/>
      <c r="H18" s="229"/>
      <c r="I18" s="229"/>
      <c r="J18" s="229"/>
      <c r="K18" s="230"/>
      <c r="L18" s="228"/>
      <c r="M18" s="519">
        <f>(E15*0.2)+195711</f>
        <v>1809620.5</v>
      </c>
      <c r="N18" s="229"/>
      <c r="O18" s="229"/>
      <c r="P18" s="229"/>
      <c r="Q18" s="229"/>
      <c r="R18" s="229"/>
      <c r="S18" s="229"/>
      <c r="T18" s="229"/>
      <c r="U18" s="229"/>
      <c r="V18" s="229"/>
      <c r="W18" s="231"/>
    </row>
    <row r="19" spans="1:23" ht="46.5" customHeight="1" x14ac:dyDescent="0.45">
      <c r="A19" s="232" t="s">
        <v>292</v>
      </c>
      <c r="B19" s="195" t="s">
        <v>293</v>
      </c>
      <c r="C19" s="200"/>
      <c r="D19" s="198"/>
      <c r="E19" s="198"/>
      <c r="F19" s="198"/>
      <c r="G19" s="196"/>
      <c r="H19" s="196"/>
      <c r="I19" s="196"/>
      <c r="J19" s="196"/>
      <c r="K19" s="196"/>
      <c r="L19" s="200"/>
      <c r="M19" s="198"/>
      <c r="N19" s="198"/>
      <c r="O19" s="198"/>
      <c r="P19" s="198"/>
      <c r="Q19" s="198"/>
      <c r="R19" s="198"/>
      <c r="S19" s="198"/>
      <c r="T19" s="198"/>
      <c r="U19" s="198"/>
      <c r="V19" s="198"/>
      <c r="W19" s="201"/>
    </row>
    <row r="20" spans="1:23" ht="46.5" customHeight="1" x14ac:dyDescent="0.4">
      <c r="A20" s="202"/>
      <c r="B20" s="233" t="s">
        <v>289</v>
      </c>
      <c r="C20" s="208"/>
      <c r="D20" s="206"/>
      <c r="E20" s="206"/>
      <c r="F20" s="206"/>
      <c r="G20" s="204">
        <f>5923540*5*0.5</f>
        <v>14808850</v>
      </c>
      <c r="H20" s="206"/>
      <c r="I20" s="206"/>
      <c r="J20" s="206"/>
      <c r="K20" s="209"/>
      <c r="L20" s="208"/>
      <c r="M20" s="206"/>
      <c r="N20" s="206"/>
      <c r="O20" s="206"/>
      <c r="P20" s="206"/>
      <c r="Q20" s="206"/>
      <c r="R20" s="206"/>
      <c r="S20" s="206"/>
      <c r="T20" s="206"/>
      <c r="U20" s="206"/>
      <c r="V20" s="206"/>
      <c r="W20" s="209"/>
    </row>
    <row r="21" spans="1:23" ht="46.5" customHeight="1" x14ac:dyDescent="0.4">
      <c r="A21" s="210"/>
      <c r="B21" s="211" t="s">
        <v>285</v>
      </c>
      <c r="C21" s="215"/>
      <c r="D21" s="26"/>
      <c r="E21" s="26"/>
      <c r="F21" s="26"/>
      <c r="G21" s="26"/>
      <c r="H21" s="26"/>
      <c r="I21" s="204">
        <f>G20*0.5</f>
        <v>7404425</v>
      </c>
      <c r="J21" s="26"/>
      <c r="K21" s="216"/>
      <c r="L21" s="215"/>
      <c r="M21" s="26"/>
      <c r="N21" s="26"/>
      <c r="O21" s="26"/>
      <c r="P21" s="26"/>
      <c r="Q21" s="26"/>
      <c r="R21" s="26"/>
      <c r="S21" s="26"/>
      <c r="T21" s="26"/>
      <c r="U21" s="26"/>
      <c r="V21" s="26"/>
      <c r="W21" s="216"/>
    </row>
    <row r="22" spans="1:23" ht="46.5" customHeight="1" x14ac:dyDescent="0.4">
      <c r="A22" s="210"/>
      <c r="B22" s="211" t="s">
        <v>286</v>
      </c>
      <c r="C22" s="215"/>
      <c r="D22" s="26"/>
      <c r="E22" s="26"/>
      <c r="F22" s="26"/>
      <c r="G22" s="26"/>
      <c r="H22" s="26"/>
      <c r="I22" s="26"/>
      <c r="J22" s="519">
        <f>(G20*0.3) + 195711</f>
        <v>4638366</v>
      </c>
      <c r="K22" s="26"/>
      <c r="L22" s="215"/>
      <c r="M22" s="26"/>
      <c r="N22" s="26"/>
      <c r="O22" s="26"/>
      <c r="P22" s="26"/>
      <c r="Q22" s="26"/>
      <c r="R22" s="26"/>
      <c r="S22" s="26"/>
      <c r="T22" s="26"/>
      <c r="U22" s="26"/>
      <c r="V22" s="26"/>
      <c r="W22" s="216"/>
    </row>
    <row r="23" spans="1:23" ht="46.5" customHeight="1" x14ac:dyDescent="0.4">
      <c r="A23" s="210"/>
      <c r="B23" s="218" t="s">
        <v>287</v>
      </c>
      <c r="C23" s="228"/>
      <c r="D23" s="229"/>
      <c r="E23" s="229"/>
      <c r="F23" s="229"/>
      <c r="G23" s="229"/>
      <c r="H23" s="229"/>
      <c r="I23" s="229"/>
      <c r="J23" s="229"/>
      <c r="K23" s="204">
        <f>G20*0.2</f>
        <v>2961770</v>
      </c>
      <c r="L23" s="26"/>
      <c r="M23" s="229"/>
      <c r="N23" s="229"/>
      <c r="O23" s="229"/>
      <c r="P23" s="229"/>
      <c r="Q23" s="229"/>
      <c r="R23" s="229"/>
      <c r="S23" s="229"/>
      <c r="T23" s="229"/>
      <c r="U23" s="229"/>
      <c r="V23" s="229"/>
      <c r="W23" s="231"/>
    </row>
    <row r="24" spans="1:23" ht="46.5" customHeight="1" x14ac:dyDescent="0.4">
      <c r="A24" s="210"/>
      <c r="B24" s="234" t="s">
        <v>294</v>
      </c>
      <c r="C24" s="200"/>
      <c r="D24" s="198"/>
      <c r="E24" s="198"/>
      <c r="F24" s="198"/>
      <c r="G24" s="198"/>
      <c r="H24" s="196"/>
      <c r="I24" s="196"/>
      <c r="J24" s="196"/>
      <c r="K24" s="196"/>
      <c r="L24" s="196"/>
      <c r="M24" s="196"/>
      <c r="N24" s="196"/>
      <c r="O24" s="198"/>
      <c r="P24" s="198"/>
      <c r="Q24" s="198"/>
      <c r="R24" s="198"/>
      <c r="S24" s="198"/>
      <c r="T24" s="198"/>
      <c r="U24" s="198"/>
      <c r="V24" s="198"/>
      <c r="W24" s="201"/>
    </row>
    <row r="25" spans="1:23" ht="46.5" customHeight="1" x14ac:dyDescent="0.4">
      <c r="A25" s="210"/>
      <c r="B25" s="203" t="s">
        <v>289</v>
      </c>
      <c r="C25" s="208"/>
      <c r="D25" s="206"/>
      <c r="E25" s="206"/>
      <c r="F25" s="206"/>
      <c r="G25" s="206"/>
      <c r="H25" s="204">
        <f>E15</f>
        <v>8069547.5</v>
      </c>
      <c r="I25" s="206"/>
      <c r="J25" s="206"/>
      <c r="K25" s="209"/>
      <c r="L25" s="208"/>
      <c r="M25" s="206"/>
      <c r="N25" s="206"/>
      <c r="O25" s="206"/>
      <c r="P25" s="206"/>
      <c r="Q25" s="206"/>
      <c r="R25" s="206"/>
      <c r="S25" s="206"/>
      <c r="T25" s="206"/>
      <c r="U25" s="206"/>
      <c r="V25" s="206"/>
      <c r="W25" s="209"/>
    </row>
    <row r="26" spans="1:23" ht="46.5" customHeight="1" x14ac:dyDescent="0.4">
      <c r="A26" s="210"/>
      <c r="B26" s="211" t="s">
        <v>285</v>
      </c>
      <c r="C26" s="215"/>
      <c r="D26" s="26"/>
      <c r="E26" s="26"/>
      <c r="F26" s="26"/>
      <c r="G26" s="26"/>
      <c r="H26" s="26"/>
      <c r="I26" s="26"/>
      <c r="J26" s="204">
        <f>I16</f>
        <v>4034773.75</v>
      </c>
      <c r="K26" s="216"/>
      <c r="L26" s="215"/>
      <c r="M26" s="26"/>
      <c r="N26" s="26"/>
      <c r="O26" s="26"/>
      <c r="P26" s="26"/>
      <c r="Q26" s="26"/>
      <c r="R26" s="26"/>
      <c r="S26" s="26"/>
      <c r="T26" s="26"/>
      <c r="U26" s="26"/>
      <c r="V26" s="26"/>
      <c r="W26" s="216"/>
    </row>
    <row r="27" spans="1:23" ht="46.5" customHeight="1" x14ac:dyDescent="0.4">
      <c r="A27" s="210"/>
      <c r="B27" s="211" t="s">
        <v>286</v>
      </c>
      <c r="C27" s="215"/>
      <c r="D27" s="26"/>
      <c r="E27" s="26"/>
      <c r="F27" s="26"/>
      <c r="G27" s="26"/>
      <c r="H27" s="26"/>
      <c r="I27" s="26"/>
      <c r="J27" s="26"/>
      <c r="K27" s="216"/>
      <c r="L27" s="204">
        <f>K17</f>
        <v>2616575.25</v>
      </c>
      <c r="M27" s="26"/>
      <c r="N27" s="26"/>
      <c r="O27" s="26"/>
      <c r="P27" s="26"/>
      <c r="Q27" s="26"/>
      <c r="R27" s="26"/>
      <c r="S27" s="26"/>
      <c r="T27" s="26"/>
      <c r="U27" s="26"/>
      <c r="V27" s="26"/>
      <c r="W27" s="216"/>
    </row>
    <row r="28" spans="1:23" ht="46.5" customHeight="1" x14ac:dyDescent="0.4">
      <c r="A28" s="217"/>
      <c r="B28" s="227" t="s">
        <v>287</v>
      </c>
      <c r="C28" s="228"/>
      <c r="D28" s="229"/>
      <c r="E28" s="229"/>
      <c r="F28" s="229"/>
      <c r="G28" s="229"/>
      <c r="H28" s="229"/>
      <c r="I28" s="229"/>
      <c r="J28" s="229"/>
      <c r="K28" s="231"/>
      <c r="L28" s="228"/>
      <c r="M28" s="229"/>
      <c r="N28" s="204">
        <f>M18</f>
        <v>1809620.5</v>
      </c>
      <c r="O28" s="229"/>
      <c r="P28" s="229"/>
      <c r="Q28" s="229"/>
      <c r="R28" s="229"/>
      <c r="S28" s="229"/>
      <c r="T28" s="229"/>
      <c r="U28" s="229"/>
      <c r="V28" s="229"/>
      <c r="W28" s="231"/>
    </row>
    <row r="29" spans="1:23" ht="14.25" customHeight="1" x14ac:dyDescent="0.4">
      <c r="B29" s="235"/>
    </row>
    <row r="30" spans="1:23" ht="14.25" customHeight="1" x14ac:dyDescent="0.4">
      <c r="B30" s="235" t="s">
        <v>295</v>
      </c>
      <c r="C30" s="236">
        <f>1000/'Gases Calculation'!C18</f>
        <v>0.80016003200640129</v>
      </c>
    </row>
    <row r="31" spans="1:23" ht="27.75" customHeight="1" x14ac:dyDescent="0.4">
      <c r="B31" s="235" t="s">
        <v>296</v>
      </c>
      <c r="C31" s="237">
        <f>'Gases Calculation'!C18*(347/12)*C30</f>
        <v>28916.666666666672</v>
      </c>
    </row>
    <row r="32" spans="1:23" ht="46.5" customHeight="1" x14ac:dyDescent="0.4">
      <c r="B32" s="648" t="s">
        <v>558</v>
      </c>
      <c r="C32" s="636"/>
      <c r="D32" s="636"/>
      <c r="E32" s="636"/>
      <c r="F32" s="636"/>
    </row>
    <row r="33" ht="46.5" customHeight="1" x14ac:dyDescent="0.4"/>
    <row r="34" ht="46.5" customHeight="1" x14ac:dyDescent="0.4"/>
    <row r="35" ht="46.5" customHeight="1" x14ac:dyDescent="0.4"/>
    <row r="36" ht="46.5" customHeight="1" x14ac:dyDescent="0.4"/>
    <row r="37" ht="46.5" customHeight="1" x14ac:dyDescent="0.4"/>
    <row r="38" ht="46.5" customHeight="1" x14ac:dyDescent="0.4"/>
    <row r="39" ht="46.5" customHeight="1" x14ac:dyDescent="0.4"/>
    <row r="40" ht="46.5" customHeight="1" x14ac:dyDescent="0.4"/>
    <row r="41" ht="46.5" customHeight="1" x14ac:dyDescent="0.4"/>
    <row r="42" ht="46.5" customHeight="1" x14ac:dyDescent="0.4"/>
    <row r="43" ht="46.5" customHeight="1" x14ac:dyDescent="0.4"/>
    <row r="44" ht="14.25" customHeight="1" x14ac:dyDescent="0.4"/>
    <row r="45" ht="14.25" customHeight="1" x14ac:dyDescent="0.4"/>
    <row r="46" ht="14.25" customHeight="1" x14ac:dyDescent="0.4"/>
    <row r="47" ht="14.25" customHeight="1" x14ac:dyDescent="0.4"/>
    <row r="48"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row r="101" ht="14.25" customHeight="1" x14ac:dyDescent="0.4"/>
  </sheetData>
  <mergeCells count="2">
    <mergeCell ref="A2:AQ2"/>
    <mergeCell ref="B32:F32"/>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ED63A-B23D-46AE-B9A7-9717DD7FF323}">
  <sheetPr>
    <tabColor theme="0" tint="-0.499984740745262"/>
  </sheetPr>
  <dimension ref="A1:E3"/>
  <sheetViews>
    <sheetView workbookViewId="0">
      <selection sqref="A1:E1"/>
    </sheetView>
  </sheetViews>
  <sheetFormatPr defaultRowHeight="14.6" x14ac:dyDescent="0.4"/>
  <sheetData>
    <row r="1" spans="1:5" ht="18.45" x14ac:dyDescent="0.5">
      <c r="A1" s="646" t="s">
        <v>46</v>
      </c>
      <c r="B1" s="646"/>
      <c r="C1" s="646"/>
      <c r="D1" s="646"/>
      <c r="E1" s="646"/>
    </row>
    <row r="3" spans="1:5" ht="6" customHeight="1" x14ac:dyDescent="0.4"/>
  </sheetData>
  <mergeCells count="1">
    <mergeCell ref="A1:E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F6000"/>
  </sheetPr>
  <dimension ref="A1:Y100"/>
  <sheetViews>
    <sheetView workbookViewId="0">
      <selection sqref="A1:C1"/>
    </sheetView>
  </sheetViews>
  <sheetFormatPr defaultColWidth="12.61328125" defaultRowHeight="15" customHeight="1" x14ac:dyDescent="0.4"/>
  <cols>
    <col min="1" max="1" width="14.23046875" customWidth="1"/>
    <col min="2" max="2" width="10.3828125" customWidth="1"/>
    <col min="3" max="3" width="11.4609375" customWidth="1"/>
    <col min="4" max="4" width="6.15234375" customWidth="1"/>
    <col min="5" max="5" width="7.69140625" customWidth="1"/>
    <col min="6" max="6" width="15.3046875" customWidth="1"/>
    <col min="7" max="7" width="1.3046875" customWidth="1"/>
    <col min="8" max="8" width="11.4609375" customWidth="1"/>
    <col min="9" max="9" width="12.765625" customWidth="1"/>
    <col min="10" max="10" width="22.3046875" bestFit="1" customWidth="1"/>
    <col min="11" max="11" width="14.921875" bestFit="1" customWidth="1"/>
    <col min="12" max="13" width="14.3828125" customWidth="1"/>
    <col min="14" max="14" width="12" customWidth="1"/>
    <col min="15" max="15" width="15.3046875" customWidth="1"/>
    <col min="16" max="16" width="22.07421875" customWidth="1"/>
    <col min="17" max="17" width="11.84375" customWidth="1"/>
    <col min="18" max="18" width="13.23046875" bestFit="1" customWidth="1"/>
    <col min="19" max="25" width="7.69140625" customWidth="1"/>
  </cols>
  <sheetData>
    <row r="1" spans="1:25" ht="16.399999999999999" customHeight="1" x14ac:dyDescent="0.5">
      <c r="A1" s="645" t="s">
        <v>46</v>
      </c>
      <c r="B1" s="649"/>
      <c r="C1" s="649"/>
    </row>
    <row r="2" spans="1:25" ht="10.75" customHeight="1" x14ac:dyDescent="0.5">
      <c r="D2" s="595"/>
      <c r="E2" s="595"/>
      <c r="F2" s="595"/>
    </row>
    <row r="3" spans="1:25" ht="14.25" customHeight="1" x14ac:dyDescent="0.5">
      <c r="A3" s="650" t="s">
        <v>601</v>
      </c>
      <c r="B3" s="651"/>
      <c r="C3" s="651"/>
      <c r="D3" s="651"/>
      <c r="E3" s="651"/>
      <c r="F3" s="651"/>
    </row>
    <row r="4" spans="1:25" ht="12" customHeight="1" thickBot="1" x14ac:dyDescent="0.55000000000000004">
      <c r="A4" s="55"/>
      <c r="E4" s="109"/>
      <c r="F4" s="82"/>
      <c r="G4" s="178"/>
    </row>
    <row r="5" spans="1:25" ht="27.75" customHeight="1" thickBot="1" x14ac:dyDescent="0.45">
      <c r="E5" s="656" t="s">
        <v>298</v>
      </c>
      <c r="F5" s="629"/>
      <c r="G5" s="178"/>
      <c r="H5" s="238" t="s">
        <v>567</v>
      </c>
      <c r="I5" s="239"/>
      <c r="J5" s="239"/>
      <c r="K5" s="239"/>
      <c r="L5" s="239"/>
      <c r="M5" s="239"/>
      <c r="N5" s="239"/>
      <c r="O5" s="239"/>
      <c r="P5" s="240"/>
    </row>
    <row r="6" spans="1:25" ht="14.25" customHeight="1" thickBot="1" x14ac:dyDescent="0.6">
      <c r="A6" s="654" t="s">
        <v>297</v>
      </c>
      <c r="B6" s="626"/>
      <c r="C6" s="627"/>
      <c r="E6" s="241">
        <v>24000</v>
      </c>
      <c r="F6" s="161" t="s">
        <v>300</v>
      </c>
      <c r="H6" s="460" t="s">
        <v>595</v>
      </c>
      <c r="K6">
        <v>94.35</v>
      </c>
      <c r="L6" t="s">
        <v>301</v>
      </c>
      <c r="P6" s="161"/>
    </row>
    <row r="7" spans="1:25" ht="14.25" customHeight="1" thickBot="1" x14ac:dyDescent="0.6">
      <c r="A7" s="158" t="s">
        <v>299</v>
      </c>
      <c r="B7" s="38">
        <v>1250</v>
      </c>
      <c r="C7" s="161" t="s">
        <v>300</v>
      </c>
      <c r="E7" s="158"/>
      <c r="F7" s="161"/>
      <c r="H7" s="460" t="s">
        <v>596</v>
      </c>
      <c r="K7" s="242">
        <f>K6*24*8</f>
        <v>18115.199999999997</v>
      </c>
      <c r="L7" t="s">
        <v>301</v>
      </c>
      <c r="P7" s="161"/>
    </row>
    <row r="8" spans="1:25" ht="14.25" customHeight="1" thickBot="1" x14ac:dyDescent="0.45">
      <c r="A8" s="158" t="s">
        <v>302</v>
      </c>
      <c r="B8" s="144">
        <v>0.4</v>
      </c>
      <c r="C8" s="161"/>
      <c r="D8" s="245"/>
      <c r="E8" s="246">
        <v>7.2999999999999995E-2</v>
      </c>
      <c r="F8" s="161"/>
      <c r="H8" s="158" t="s">
        <v>304</v>
      </c>
      <c r="K8">
        <v>24</v>
      </c>
      <c r="L8" t="s">
        <v>305</v>
      </c>
      <c r="N8" s="247">
        <f>C30*8/1000</f>
        <v>9.5344639999999998</v>
      </c>
      <c r="O8" t="s">
        <v>306</v>
      </c>
      <c r="P8" s="161"/>
    </row>
    <row r="9" spans="1:25" ht="14.25" customHeight="1" thickBot="1" x14ac:dyDescent="0.45">
      <c r="A9" s="243" t="s">
        <v>303</v>
      </c>
      <c r="B9" s="244">
        <v>6.1600000000000002E-2</v>
      </c>
      <c r="C9" s="226"/>
      <c r="E9" s="158"/>
      <c r="F9" s="161"/>
      <c r="H9" s="158" t="s">
        <v>308</v>
      </c>
      <c r="K9">
        <v>347</v>
      </c>
      <c r="L9" s="248">
        <f>K9/12</f>
        <v>28.916666666666668</v>
      </c>
      <c r="M9" t="s">
        <v>309</v>
      </c>
      <c r="P9" s="161"/>
    </row>
    <row r="10" spans="1:25" ht="14.25" customHeight="1" thickBot="1" x14ac:dyDescent="0.45">
      <c r="A10" s="158" t="s">
        <v>307</v>
      </c>
      <c r="B10" s="144">
        <v>0.27260000000000001</v>
      </c>
      <c r="C10" s="161"/>
      <c r="D10" s="245"/>
      <c r="E10" s="250">
        <v>0.77</v>
      </c>
      <c r="F10" s="161"/>
      <c r="H10" s="158" t="s">
        <v>311</v>
      </c>
      <c r="K10" s="39">
        <v>9000</v>
      </c>
      <c r="L10" s="426" t="s">
        <v>658</v>
      </c>
      <c r="P10" s="161"/>
    </row>
    <row r="11" spans="1:25" ht="14.25" customHeight="1" thickBot="1" x14ac:dyDescent="0.45">
      <c r="A11" s="243" t="s">
        <v>310</v>
      </c>
      <c r="B11" s="249">
        <v>0.51500000000000001</v>
      </c>
      <c r="C11" s="226"/>
      <c r="D11" s="432"/>
      <c r="E11" s="158"/>
      <c r="F11" s="161"/>
      <c r="H11" s="251" t="s">
        <v>313</v>
      </c>
      <c r="K11" s="112">
        <v>3000</v>
      </c>
      <c r="L11" t="s">
        <v>559</v>
      </c>
      <c r="M11" s="252"/>
      <c r="N11" s="252"/>
      <c r="O11" s="252"/>
      <c r="P11" s="161"/>
    </row>
    <row r="12" spans="1:25" ht="14.25" customHeight="1" x14ac:dyDescent="0.4">
      <c r="A12" s="460" t="s">
        <v>592</v>
      </c>
      <c r="B12" s="461">
        <v>1E-3</v>
      </c>
      <c r="C12" s="161"/>
      <c r="E12" s="158"/>
      <c r="F12" s="161"/>
      <c r="H12" s="251" t="s">
        <v>315</v>
      </c>
      <c r="K12" s="39">
        <f>K10+K11</f>
        <v>12000</v>
      </c>
      <c r="M12" s="252"/>
      <c r="N12" s="252"/>
      <c r="O12" s="252"/>
      <c r="P12" s="161"/>
    </row>
    <row r="13" spans="1:25" ht="14.25" customHeight="1" thickBot="1" x14ac:dyDescent="0.6">
      <c r="A13" s="158" t="s">
        <v>312</v>
      </c>
      <c r="B13" s="144">
        <v>1.11E-2</v>
      </c>
      <c r="C13" s="161"/>
      <c r="E13" s="167"/>
      <c r="F13" s="170"/>
      <c r="H13" s="460" t="s">
        <v>593</v>
      </c>
      <c r="K13" s="253">
        <v>-400</v>
      </c>
      <c r="L13" t="s">
        <v>317</v>
      </c>
      <c r="P13" s="161"/>
      <c r="T13" s="39"/>
      <c r="Y13" s="161"/>
    </row>
    <row r="14" spans="1:25" ht="14.25" customHeight="1" x14ac:dyDescent="0.55000000000000004">
      <c r="A14" s="158" t="s">
        <v>314</v>
      </c>
      <c r="B14" s="144">
        <v>0.11609999999999999</v>
      </c>
      <c r="C14" s="161"/>
      <c r="H14" s="460" t="s">
        <v>594</v>
      </c>
      <c r="I14" s="254"/>
      <c r="J14" s="254"/>
      <c r="K14" s="255">
        <f>K12+K13</f>
        <v>11600</v>
      </c>
      <c r="P14" s="161"/>
    </row>
    <row r="15" spans="1:25" ht="14.25" customHeight="1" x14ac:dyDescent="0.4">
      <c r="A15" s="158" t="s">
        <v>316</v>
      </c>
      <c r="B15" s="144">
        <v>1.41E-2</v>
      </c>
      <c r="C15" s="161"/>
      <c r="E15" s="144"/>
      <c r="H15" s="460" t="s">
        <v>657</v>
      </c>
      <c r="I15" s="463"/>
      <c r="J15" s="463"/>
      <c r="K15" s="464">
        <f>-K10*0.24</f>
        <v>-2160</v>
      </c>
      <c r="N15" s="570">
        <f>K20/5</f>
        <v>732.75350111613045</v>
      </c>
      <c r="O15" s="570">
        <f>J20/5</f>
        <v>286622.03304000001</v>
      </c>
      <c r="P15" s="161"/>
    </row>
    <row r="16" spans="1:25" ht="14.25" customHeight="1" thickBot="1" x14ac:dyDescent="0.45">
      <c r="A16" s="158" t="s">
        <v>318</v>
      </c>
      <c r="B16" s="38" t="s">
        <v>319</v>
      </c>
      <c r="C16" s="652" t="s">
        <v>320</v>
      </c>
      <c r="H16" s="452" t="s">
        <v>599</v>
      </c>
      <c r="I16" s="453"/>
      <c r="J16" s="453"/>
      <c r="K16" s="465">
        <f>K14+K15</f>
        <v>9440</v>
      </c>
      <c r="L16" s="453" t="s">
        <v>600</v>
      </c>
      <c r="M16" s="453"/>
      <c r="N16" s="453"/>
      <c r="O16" s="570">
        <f>N15+O15</f>
        <v>287354.78654111613</v>
      </c>
      <c r="P16" s="161"/>
    </row>
    <row r="17" spans="1:16" ht="14.25" customHeight="1" thickBot="1" x14ac:dyDescent="0.45">
      <c r="A17" s="167"/>
      <c r="B17" s="256"/>
      <c r="C17" s="653"/>
      <c r="H17" s="462" t="s">
        <v>598</v>
      </c>
      <c r="I17" s="245"/>
      <c r="J17" s="245"/>
      <c r="K17" s="257"/>
      <c r="L17" s="245"/>
      <c r="M17" s="245"/>
      <c r="N17" s="245"/>
      <c r="O17" s="245"/>
      <c r="P17" s="226"/>
    </row>
    <row r="18" spans="1:16" ht="14.25" customHeight="1" thickBot="1" x14ac:dyDescent="0.45">
      <c r="B18" s="258"/>
      <c r="C18" s="259"/>
      <c r="D18" s="583"/>
      <c r="F18" s="119"/>
    </row>
    <row r="19" spans="1:16" ht="17.600000000000001" customHeight="1" thickBot="1" x14ac:dyDescent="0.6">
      <c r="A19" s="584" t="s">
        <v>321</v>
      </c>
      <c r="B19" s="582"/>
      <c r="C19" s="582"/>
      <c r="D19" s="161" t="s">
        <v>329</v>
      </c>
      <c r="H19" s="445" t="s">
        <v>322</v>
      </c>
      <c r="I19" s="446" t="s">
        <v>323</v>
      </c>
      <c r="J19" s="418" t="s">
        <v>568</v>
      </c>
      <c r="K19" s="446" t="s">
        <v>324</v>
      </c>
      <c r="L19" s="446" t="s">
        <v>325</v>
      </c>
      <c r="M19" s="446" t="s">
        <v>326</v>
      </c>
      <c r="N19" s="446" t="s">
        <v>327</v>
      </c>
      <c r="O19" s="447" t="s">
        <v>328</v>
      </c>
    </row>
    <row r="20" spans="1:16" ht="17.149999999999999" x14ac:dyDescent="0.55000000000000004">
      <c r="A20" s="460" t="s">
        <v>597</v>
      </c>
      <c r="C20">
        <v>48</v>
      </c>
      <c r="D20" s="161" t="s">
        <v>331</v>
      </c>
      <c r="H20" s="448">
        <v>5</v>
      </c>
      <c r="I20" s="449">
        <f t="shared" ref="I20:I39" si="0">H20*1.05</f>
        <v>5.25</v>
      </c>
      <c r="J20" s="466">
        <f>(I20*28.91667*$K$16)</f>
        <v>1433110.1652000002</v>
      </c>
      <c r="K20" s="467">
        <f>H20*'Gases Calculation'!$M$9</f>
        <v>3663.7675055806521</v>
      </c>
      <c r="L20" s="450">
        <f t="shared" ref="L20:L39" si="1">SUM(J20:K20)</f>
        <v>1436773.9327055807</v>
      </c>
      <c r="M20" s="450">
        <f>(L20*12)+('Gases Calculation'!M7*10)</f>
        <v>17241287.192466967</v>
      </c>
      <c r="N20" s="450">
        <f>($K$14*I20*$L$9)+('Gases Calculation'!$M$9*H20*0.7475)</f>
        <v>1763763.6662104216</v>
      </c>
      <c r="O20" s="454">
        <f t="shared" ref="O20:O39" si="2">N20*12</f>
        <v>21165163.99452506</v>
      </c>
    </row>
    <row r="21" spans="1:16" ht="14.25" customHeight="1" x14ac:dyDescent="0.4">
      <c r="A21" s="158" t="s">
        <v>330</v>
      </c>
      <c r="C21">
        <v>6</v>
      </c>
      <c r="D21" s="161" t="s">
        <v>333</v>
      </c>
      <c r="H21" s="448">
        <v>10</v>
      </c>
      <c r="I21" s="449">
        <f t="shared" si="0"/>
        <v>10.5</v>
      </c>
      <c r="J21" s="466">
        <f t="shared" ref="J21:J39" si="3">(I21*28.91667*$K$16)</f>
        <v>2866220.3304000003</v>
      </c>
      <c r="K21" s="467">
        <f>H21*'Gases Calculation'!$M$9</f>
        <v>7327.5350111613043</v>
      </c>
      <c r="L21" s="450">
        <f t="shared" si="1"/>
        <v>2873547.8654111614</v>
      </c>
      <c r="M21" s="450">
        <f>(L21*12)+('Gases Calculation'!M9*10)</f>
        <v>34489901.919945098</v>
      </c>
      <c r="N21" s="450">
        <f>($K$14*I21*$L$9)+('Gases Calculation'!$M$9*H21*0.7625)</f>
        <v>3527637.2454460105</v>
      </c>
      <c r="O21" s="454">
        <f t="shared" si="2"/>
        <v>42331646.945352122</v>
      </c>
    </row>
    <row r="22" spans="1:16" ht="14.25" customHeight="1" thickBot="1" x14ac:dyDescent="0.45">
      <c r="A22" s="158" t="s">
        <v>332</v>
      </c>
      <c r="C22">
        <v>1</v>
      </c>
      <c r="D22" s="170" t="s">
        <v>334</v>
      </c>
      <c r="H22" s="448">
        <v>15</v>
      </c>
      <c r="I22" s="449">
        <f t="shared" si="0"/>
        <v>15.75</v>
      </c>
      <c r="J22" s="466">
        <f t="shared" si="3"/>
        <v>4299330.4956</v>
      </c>
      <c r="K22" s="467">
        <f>H22*'Gases Calculation'!$M$9</f>
        <v>10991.302516741956</v>
      </c>
      <c r="L22" s="450">
        <f t="shared" si="1"/>
        <v>4310321.7981167417</v>
      </c>
      <c r="M22" s="450">
        <f t="shared" ref="M22:M39" si="4">L22*12</f>
        <v>51723861.5774009</v>
      </c>
      <c r="N22" s="450">
        <f>($K$14*I22*$L$9)+('Gases Calculation'!$M$9*H22*0.7625)</f>
        <v>5291455.8681690162</v>
      </c>
      <c r="O22" s="454">
        <f t="shared" si="2"/>
        <v>63497470.418028191</v>
      </c>
    </row>
    <row r="23" spans="1:16" ht="14.25" customHeight="1" thickBot="1" x14ac:dyDescent="0.45">
      <c r="A23" s="167" t="s">
        <v>332</v>
      </c>
      <c r="B23" s="109"/>
      <c r="C23" s="109">
        <v>12</v>
      </c>
      <c r="H23" s="448">
        <v>20</v>
      </c>
      <c r="I23" s="449">
        <f t="shared" si="0"/>
        <v>21</v>
      </c>
      <c r="J23" s="466">
        <f t="shared" si="3"/>
        <v>5732440.6608000007</v>
      </c>
      <c r="K23" s="467">
        <f>H23*'Gases Calculation'!$M$9</f>
        <v>14655.070022322609</v>
      </c>
      <c r="L23" s="450">
        <f t="shared" si="1"/>
        <v>5747095.7308223229</v>
      </c>
      <c r="M23" s="450">
        <f t="shared" si="4"/>
        <v>68965148.769867867</v>
      </c>
      <c r="N23" s="450">
        <f>($K$14*I23*$L$9)+('Gases Calculation'!$M$9*H23*0.7625)</f>
        <v>7055274.490892021</v>
      </c>
      <c r="O23" s="454">
        <f t="shared" si="2"/>
        <v>84663293.890704244</v>
      </c>
    </row>
    <row r="24" spans="1:16" ht="14.25" customHeight="1" thickBot="1" x14ac:dyDescent="0.45">
      <c r="H24" s="448">
        <v>25</v>
      </c>
      <c r="I24" s="449">
        <f t="shared" si="0"/>
        <v>26.25</v>
      </c>
      <c r="J24" s="466">
        <f t="shared" si="3"/>
        <v>7165550.8259999994</v>
      </c>
      <c r="K24" s="467">
        <f>H24*'Gases Calculation'!$M$9</f>
        <v>18318.837527903263</v>
      </c>
      <c r="L24" s="450">
        <f t="shared" si="1"/>
        <v>7183869.6635279022</v>
      </c>
      <c r="M24" s="450">
        <f t="shared" si="4"/>
        <v>86206435.962334827</v>
      </c>
      <c r="N24" s="450">
        <f>($K$14*I24*$L$9)+('Gases Calculation'!$M$9*H24*0.7625)</f>
        <v>8819093.1136150267</v>
      </c>
      <c r="O24" s="454">
        <f t="shared" si="2"/>
        <v>105829117.36338031</v>
      </c>
    </row>
    <row r="25" spans="1:16" ht="14.25" customHeight="1" thickBot="1" x14ac:dyDescent="0.45">
      <c r="A25" s="655" t="s">
        <v>335</v>
      </c>
      <c r="B25" s="626"/>
      <c r="C25" s="627"/>
      <c r="H25" s="448">
        <v>30</v>
      </c>
      <c r="I25" s="449">
        <f t="shared" si="0"/>
        <v>31.5</v>
      </c>
      <c r="J25" s="466">
        <f t="shared" si="3"/>
        <v>8598660.9912</v>
      </c>
      <c r="K25" s="467">
        <f>H25*'Gases Calculation'!$M$9</f>
        <v>21982.605033483913</v>
      </c>
      <c r="L25" s="450">
        <f t="shared" si="1"/>
        <v>8620643.5962334834</v>
      </c>
      <c r="M25" s="450">
        <f t="shared" si="4"/>
        <v>103447723.1548018</v>
      </c>
      <c r="N25" s="450">
        <f>($K$14*I25*$L$9)+('Gases Calculation'!$M$9*H25*0.7625)</f>
        <v>10582911.736338032</v>
      </c>
      <c r="O25" s="454">
        <f t="shared" si="2"/>
        <v>126994940.83605638</v>
      </c>
    </row>
    <row r="26" spans="1:16" ht="14.25" customHeight="1" x14ac:dyDescent="0.4">
      <c r="A26" s="158" t="s">
        <v>336</v>
      </c>
      <c r="C26" s="161">
        <v>12.8</v>
      </c>
      <c r="H26" s="448">
        <v>35</v>
      </c>
      <c r="I26" s="449">
        <f t="shared" si="0"/>
        <v>36.75</v>
      </c>
      <c r="J26" s="466">
        <f t="shared" si="3"/>
        <v>10031771.156400001</v>
      </c>
      <c r="K26" s="467">
        <f>H26*'Gases Calculation'!$M$9</f>
        <v>25646.372539064567</v>
      </c>
      <c r="L26" s="450">
        <f t="shared" si="1"/>
        <v>10057417.528939065</v>
      </c>
      <c r="M26" s="450">
        <f t="shared" si="4"/>
        <v>120689010.34726878</v>
      </c>
      <c r="N26" s="450">
        <f>($K$14*I26*$L$9)+('Gases Calculation'!$M$9*H26*0.7625)</f>
        <v>12346730.359061036</v>
      </c>
      <c r="O26" s="454">
        <f t="shared" si="2"/>
        <v>148160764.30873245</v>
      </c>
    </row>
    <row r="27" spans="1:16" ht="14.25" customHeight="1" x14ac:dyDescent="0.4">
      <c r="A27" s="158" t="s">
        <v>337</v>
      </c>
      <c r="C27" s="260">
        <f>C26*3.7854</f>
        <v>48.453120000000006</v>
      </c>
      <c r="H27" s="448">
        <v>40</v>
      </c>
      <c r="I27" s="449">
        <f t="shared" si="0"/>
        <v>42</v>
      </c>
      <c r="J27" s="466">
        <f t="shared" si="3"/>
        <v>11464881.321600001</v>
      </c>
      <c r="K27" s="467">
        <f>H27*'Gases Calculation'!$M$9</f>
        <v>29310.140044645217</v>
      </c>
      <c r="L27" s="450">
        <f t="shared" si="1"/>
        <v>11494191.461644646</v>
      </c>
      <c r="M27" s="450">
        <f t="shared" si="4"/>
        <v>137930297.53973573</v>
      </c>
      <c r="N27" s="450">
        <f>($K$14*I27*$L$9)+('Gases Calculation'!$M$9*H27*0.7625)</f>
        <v>14110548.981784042</v>
      </c>
      <c r="O27" s="454">
        <f t="shared" si="2"/>
        <v>169326587.78140849</v>
      </c>
    </row>
    <row r="28" spans="1:16" ht="14.25" customHeight="1" x14ac:dyDescent="0.4">
      <c r="A28" s="158" t="s">
        <v>338</v>
      </c>
      <c r="C28" s="260">
        <f>C27*4</f>
        <v>193.81248000000002</v>
      </c>
      <c r="H28" s="448">
        <v>45</v>
      </c>
      <c r="I28" s="449">
        <f t="shared" si="0"/>
        <v>47.25</v>
      </c>
      <c r="J28" s="466">
        <f t="shared" si="3"/>
        <v>12897991.486799998</v>
      </c>
      <c r="K28" s="467">
        <f>H28*'Gases Calculation'!$M$9</f>
        <v>32973.907550225871</v>
      </c>
      <c r="L28" s="450">
        <f t="shared" si="1"/>
        <v>12930965.394350223</v>
      </c>
      <c r="M28" s="450">
        <f t="shared" si="4"/>
        <v>155171584.73220268</v>
      </c>
      <c r="N28" s="450">
        <f>($K$14*I28*$L$9)+('Gases Calculation'!$M$9*H28*0.7625)</f>
        <v>15874367.604507048</v>
      </c>
      <c r="O28" s="454">
        <f t="shared" si="2"/>
        <v>190492411.25408459</v>
      </c>
    </row>
    <row r="29" spans="1:16" ht="14.25" customHeight="1" x14ac:dyDescent="0.4">
      <c r="A29" s="158" t="s">
        <v>339</v>
      </c>
      <c r="C29" s="260">
        <v>93.11</v>
      </c>
      <c r="H29" s="448">
        <v>50</v>
      </c>
      <c r="I29" s="449">
        <f t="shared" si="0"/>
        <v>52.5</v>
      </c>
      <c r="J29" s="466">
        <f t="shared" si="3"/>
        <v>14331101.651999999</v>
      </c>
      <c r="K29" s="467">
        <f>H29*'Gases Calculation'!$M$9</f>
        <v>36637.675055806525</v>
      </c>
      <c r="L29" s="450">
        <f t="shared" si="1"/>
        <v>14367739.327055804</v>
      </c>
      <c r="M29" s="450">
        <f t="shared" si="4"/>
        <v>172412871.92466965</v>
      </c>
      <c r="N29" s="450">
        <f>($K$14*I29*$L$9)+('Gases Calculation'!$M$9*H29*0.7625)</f>
        <v>17638186.227230053</v>
      </c>
      <c r="O29" s="454">
        <f t="shared" si="2"/>
        <v>211658234.72676063</v>
      </c>
    </row>
    <row r="30" spans="1:16" ht="14.25" customHeight="1" x14ac:dyDescent="0.4">
      <c r="A30" s="158" t="s">
        <v>340</v>
      </c>
      <c r="C30" s="261">
        <f>C29*C26</f>
        <v>1191.808</v>
      </c>
      <c r="H30" s="448">
        <v>55</v>
      </c>
      <c r="I30" s="449">
        <f t="shared" si="0"/>
        <v>57.75</v>
      </c>
      <c r="J30" s="466">
        <f t="shared" si="3"/>
        <v>15764211.817199999</v>
      </c>
      <c r="K30" s="467">
        <f>H30*'Gases Calculation'!$M$9</f>
        <v>40301.442561387172</v>
      </c>
      <c r="L30" s="450">
        <f t="shared" si="1"/>
        <v>15804513.259761387</v>
      </c>
      <c r="M30" s="450">
        <f t="shared" si="4"/>
        <v>189654159.11713666</v>
      </c>
      <c r="N30" s="450">
        <f>($K$14*I30*$L$9)+('Gases Calculation'!$M$9*H30*0.7625)</f>
        <v>19402004.849953059</v>
      </c>
      <c r="O30" s="454">
        <f t="shared" si="2"/>
        <v>232824058.19943672</v>
      </c>
    </row>
    <row r="31" spans="1:16" ht="14.25" customHeight="1" x14ac:dyDescent="0.4">
      <c r="A31" s="158" t="s">
        <v>341</v>
      </c>
      <c r="C31" s="261">
        <f>C30*24</f>
        <v>28603.392</v>
      </c>
      <c r="H31" s="448">
        <v>60</v>
      </c>
      <c r="I31" s="449">
        <f t="shared" si="0"/>
        <v>63</v>
      </c>
      <c r="J31" s="466">
        <f t="shared" si="3"/>
        <v>17197321.9824</v>
      </c>
      <c r="K31" s="467">
        <f>H31*'Gases Calculation'!$M$9</f>
        <v>43965.210066967826</v>
      </c>
      <c r="L31" s="450">
        <f t="shared" si="1"/>
        <v>17241287.192466967</v>
      </c>
      <c r="M31" s="450">
        <f t="shared" si="4"/>
        <v>206895446.3096036</v>
      </c>
      <c r="N31" s="450">
        <f>($K$14*I31*$L$9)+('Gases Calculation'!$M$9*H31*0.7625)</f>
        <v>21165823.472676065</v>
      </c>
      <c r="O31" s="454">
        <f t="shared" si="2"/>
        <v>253989881.67211276</v>
      </c>
    </row>
    <row r="32" spans="1:16" ht="14.25" customHeight="1" x14ac:dyDescent="0.4">
      <c r="A32" s="158" t="s">
        <v>342</v>
      </c>
      <c r="C32" s="261">
        <f>C31*4</f>
        <v>114413.568</v>
      </c>
      <c r="H32" s="448">
        <v>65</v>
      </c>
      <c r="I32" s="449">
        <f t="shared" si="0"/>
        <v>68.25</v>
      </c>
      <c r="J32" s="466">
        <f t="shared" si="3"/>
        <v>18630432.147599999</v>
      </c>
      <c r="K32" s="467">
        <f>H32*'Gases Calculation'!$M$9</f>
        <v>47628.97757254848</v>
      </c>
      <c r="L32" s="450">
        <f t="shared" si="1"/>
        <v>18678061.125172548</v>
      </c>
      <c r="M32" s="450">
        <f t="shared" si="4"/>
        <v>224136733.50207058</v>
      </c>
      <c r="N32" s="450">
        <f>($K$14*I32*$L$9)+('Gases Calculation'!$M$9*H32*0.7625)</f>
        <v>22929642.095399067</v>
      </c>
      <c r="O32" s="454">
        <f t="shared" si="2"/>
        <v>275155705.1447888</v>
      </c>
    </row>
    <row r="33" spans="1:16" ht="14.25" customHeight="1" thickBot="1" x14ac:dyDescent="0.45">
      <c r="A33" s="167" t="s">
        <v>343</v>
      </c>
      <c r="B33" s="109"/>
      <c r="C33" s="262">
        <v>1030000</v>
      </c>
      <c r="H33" s="448">
        <v>70</v>
      </c>
      <c r="I33" s="449">
        <f t="shared" si="0"/>
        <v>73.5</v>
      </c>
      <c r="J33" s="466">
        <f t="shared" si="3"/>
        <v>20063542.312800001</v>
      </c>
      <c r="K33" s="467">
        <f>H33*'Gases Calculation'!$M$9</f>
        <v>51292.745078129134</v>
      </c>
      <c r="L33" s="450">
        <f t="shared" si="1"/>
        <v>20114835.057878129</v>
      </c>
      <c r="M33" s="450">
        <f t="shared" si="4"/>
        <v>241378020.69453755</v>
      </c>
      <c r="N33" s="450">
        <f>($K$14*I33*$L$9)+('Gases Calculation'!$M$9*H33*0.7625)</f>
        <v>24693460.718122073</v>
      </c>
      <c r="O33" s="454">
        <f t="shared" si="2"/>
        <v>296321528.6174649</v>
      </c>
    </row>
    <row r="34" spans="1:16" ht="14.25" customHeight="1" x14ac:dyDescent="0.4">
      <c r="H34" s="448">
        <v>75</v>
      </c>
      <c r="I34" s="449">
        <f t="shared" si="0"/>
        <v>78.75</v>
      </c>
      <c r="J34" s="466">
        <f t="shared" si="3"/>
        <v>21496652.478</v>
      </c>
      <c r="K34" s="467">
        <f>H34*'Gases Calculation'!$M$9</f>
        <v>54956.51258370978</v>
      </c>
      <c r="L34" s="450">
        <f t="shared" si="1"/>
        <v>21551608.99058371</v>
      </c>
      <c r="M34" s="450">
        <f t="shared" si="4"/>
        <v>258619307.88700452</v>
      </c>
      <c r="N34" s="450">
        <f>($K$14*I34*$L$9)+('Gases Calculation'!$M$9*H34*0.7625)</f>
        <v>26457279.340845078</v>
      </c>
      <c r="O34" s="454">
        <f t="shared" si="2"/>
        <v>317487352.09014094</v>
      </c>
    </row>
    <row r="35" spans="1:16" ht="14.25" customHeight="1" x14ac:dyDescent="0.4">
      <c r="H35" s="448">
        <v>80</v>
      </c>
      <c r="I35" s="449">
        <f t="shared" si="0"/>
        <v>84</v>
      </c>
      <c r="J35" s="466">
        <f t="shared" si="3"/>
        <v>22929762.643200003</v>
      </c>
      <c r="K35" s="467">
        <f>H35*'Gases Calculation'!$M$9</f>
        <v>58620.280089290434</v>
      </c>
      <c r="L35" s="450">
        <f t="shared" si="1"/>
        <v>22988382.923289292</v>
      </c>
      <c r="M35" s="450">
        <f t="shared" si="4"/>
        <v>275860595.07947147</v>
      </c>
      <c r="N35" s="450">
        <f>($K$14*I35*$L$9)+('Gases Calculation'!$M$9*H35*0.7625)</f>
        <v>28221097.963568084</v>
      </c>
      <c r="O35" s="454">
        <f t="shared" si="2"/>
        <v>338653175.56281698</v>
      </c>
    </row>
    <row r="36" spans="1:16" ht="14.25" customHeight="1" x14ac:dyDescent="0.4">
      <c r="H36" s="448">
        <v>85</v>
      </c>
      <c r="I36" s="449">
        <f t="shared" si="0"/>
        <v>89.25</v>
      </c>
      <c r="J36" s="466">
        <f t="shared" si="3"/>
        <v>24362872.808400001</v>
      </c>
      <c r="K36" s="467">
        <f>H36*'Gases Calculation'!$M$9</f>
        <v>62284.047594871088</v>
      </c>
      <c r="L36" s="450">
        <f t="shared" si="1"/>
        <v>24425156.855994873</v>
      </c>
      <c r="M36" s="450">
        <f t="shared" si="4"/>
        <v>293101882.27193844</v>
      </c>
      <c r="N36" s="450">
        <f>($K$14*I36*$L$9)+('Gases Calculation'!$M$9*H36*0.7625)</f>
        <v>29984916.58629109</v>
      </c>
      <c r="O36" s="454">
        <f t="shared" si="2"/>
        <v>359818999.03549308</v>
      </c>
    </row>
    <row r="37" spans="1:16" ht="14.25" customHeight="1" x14ac:dyDescent="0.4">
      <c r="H37" s="448">
        <v>90</v>
      </c>
      <c r="I37" s="449">
        <f t="shared" si="0"/>
        <v>94.5</v>
      </c>
      <c r="J37" s="466">
        <f t="shared" si="3"/>
        <v>25795982.973599996</v>
      </c>
      <c r="K37" s="467">
        <f>H37*'Gases Calculation'!$M$9</f>
        <v>65947.815100451742</v>
      </c>
      <c r="L37" s="450">
        <f t="shared" si="1"/>
        <v>25861930.788700446</v>
      </c>
      <c r="M37" s="450">
        <f t="shared" si="4"/>
        <v>310343169.46440536</v>
      </c>
      <c r="N37" s="450">
        <f>($K$14*I37*$L$9)+('Gases Calculation'!$M$9*H37*0.7625)</f>
        <v>31748735.209014095</v>
      </c>
      <c r="O37" s="454">
        <f t="shared" si="2"/>
        <v>380984822.50816917</v>
      </c>
    </row>
    <row r="38" spans="1:16" ht="14.25" customHeight="1" x14ac:dyDescent="0.4">
      <c r="H38" s="448">
        <v>95</v>
      </c>
      <c r="I38" s="449">
        <f t="shared" si="0"/>
        <v>99.75</v>
      </c>
      <c r="J38" s="466">
        <f t="shared" si="3"/>
        <v>27229093.138799999</v>
      </c>
      <c r="K38" s="467">
        <f>H38*'Gases Calculation'!$M$9</f>
        <v>69611.582606032389</v>
      </c>
      <c r="L38" s="450">
        <f t="shared" si="1"/>
        <v>27298704.721406031</v>
      </c>
      <c r="M38" s="450">
        <f t="shared" si="4"/>
        <v>327584456.65687239</v>
      </c>
      <c r="N38" s="450">
        <f>($K$14*I38*$L$9)+('Gases Calculation'!$M$9*H38*0.7625)</f>
        <v>33512553.831737101</v>
      </c>
      <c r="O38" s="454">
        <f t="shared" si="2"/>
        <v>402150645.98084521</v>
      </c>
    </row>
    <row r="39" spans="1:16" ht="14.25" customHeight="1" thickBot="1" x14ac:dyDescent="0.45">
      <c r="H39" s="451">
        <v>100</v>
      </c>
      <c r="I39" s="167">
        <f t="shared" si="0"/>
        <v>105</v>
      </c>
      <c r="J39" s="110">
        <f t="shared" si="3"/>
        <v>28662203.303999998</v>
      </c>
      <c r="K39" s="110">
        <f>H39*'Gases Calculation'!$M$9</f>
        <v>73275.35011161305</v>
      </c>
      <c r="L39" s="110">
        <f t="shared" si="1"/>
        <v>28735478.654111609</v>
      </c>
      <c r="M39" s="110">
        <f t="shared" si="4"/>
        <v>344825743.84933931</v>
      </c>
      <c r="N39" s="110">
        <f>($K$14*I39*$L$9)+('Gases Calculation'!$M$9*H39*0.7625)</f>
        <v>35276372.454460107</v>
      </c>
      <c r="O39" s="454">
        <f t="shared" si="2"/>
        <v>423316469.45352125</v>
      </c>
    </row>
    <row r="40" spans="1:16" ht="14.25" customHeight="1" thickBot="1" x14ac:dyDescent="0.45">
      <c r="H40" s="452"/>
      <c r="I40" s="453"/>
      <c r="J40" s="453"/>
      <c r="K40" s="453"/>
      <c r="L40" s="453"/>
      <c r="M40" s="453"/>
      <c r="N40" s="453"/>
      <c r="O40" s="455" t="s">
        <v>344</v>
      </c>
    </row>
    <row r="41" spans="1:16" ht="14.25" customHeight="1" x14ac:dyDescent="0.4">
      <c r="M41" s="39"/>
    </row>
    <row r="42" spans="1:16" ht="14.25" customHeight="1" x14ac:dyDescent="0.4">
      <c r="H42" s="24"/>
      <c r="I42" s="39"/>
      <c r="J42" s="39"/>
      <c r="M42" s="119"/>
    </row>
    <row r="43" spans="1:16" ht="14.25" customHeight="1" x14ac:dyDescent="0.4">
      <c r="M43" s="38"/>
    </row>
    <row r="44" spans="1:16" ht="14.25" customHeight="1" x14ac:dyDescent="0.4">
      <c r="K44" s="71"/>
      <c r="P44" s="247"/>
    </row>
    <row r="45" spans="1:16" ht="14.25" customHeight="1" x14ac:dyDescent="0.4">
      <c r="K45" s="39"/>
    </row>
    <row r="46" spans="1:16" ht="14.25" customHeight="1" x14ac:dyDescent="0.4"/>
    <row r="47" spans="1:16" ht="14.25" customHeight="1" x14ac:dyDescent="0.4"/>
    <row r="48" spans="1:16" ht="14.25" customHeight="1" x14ac:dyDescent="0.4"/>
    <row r="49" ht="14.25" customHeight="1" x14ac:dyDescent="0.4"/>
    <row r="50" ht="14.25" customHeight="1" x14ac:dyDescent="0.4"/>
    <row r="51" ht="14.25" customHeight="1" x14ac:dyDescent="0.4"/>
    <row r="52" ht="14.25" customHeight="1" x14ac:dyDescent="0.4"/>
    <row r="53" ht="14.25" customHeight="1" x14ac:dyDescent="0.4"/>
    <row r="54" ht="14.25" customHeight="1" x14ac:dyDescent="0.4"/>
    <row r="55" ht="14.25" customHeight="1" x14ac:dyDescent="0.4"/>
    <row r="56" ht="14.25" customHeight="1" x14ac:dyDescent="0.4"/>
    <row r="57" ht="14.25" customHeight="1" x14ac:dyDescent="0.4"/>
    <row r="58" ht="14.25" customHeight="1" x14ac:dyDescent="0.4"/>
    <row r="59" ht="14.25" customHeight="1" x14ac:dyDescent="0.4"/>
    <row r="60" ht="14.25" customHeight="1" x14ac:dyDescent="0.4"/>
    <row r="61" ht="14.25" customHeight="1" x14ac:dyDescent="0.4"/>
    <row r="62" ht="14.25" customHeight="1" x14ac:dyDescent="0.4"/>
    <row r="63" ht="14.25" customHeight="1" x14ac:dyDescent="0.4"/>
    <row r="64" ht="14.25" customHeight="1" x14ac:dyDescent="0.4"/>
    <row r="65" ht="14.25" customHeight="1" x14ac:dyDescent="0.4"/>
    <row r="66" ht="14.25" customHeight="1" x14ac:dyDescent="0.4"/>
    <row r="67" ht="14.25" customHeight="1" x14ac:dyDescent="0.4"/>
    <row r="68" ht="14.25" customHeight="1" x14ac:dyDescent="0.4"/>
    <row r="69" ht="14.25" customHeight="1" x14ac:dyDescent="0.4"/>
    <row r="70" ht="14.25" customHeight="1" x14ac:dyDescent="0.4"/>
    <row r="71" ht="14.25" customHeight="1" x14ac:dyDescent="0.4"/>
    <row r="72" ht="14.25" customHeight="1" x14ac:dyDescent="0.4"/>
    <row r="73" ht="14.25" customHeight="1" x14ac:dyDescent="0.4"/>
    <row r="74" ht="14.25" customHeight="1" x14ac:dyDescent="0.4"/>
    <row r="75" ht="14.25" customHeight="1" x14ac:dyDescent="0.4"/>
    <row r="76" ht="14.25" customHeight="1" x14ac:dyDescent="0.4"/>
    <row r="77" ht="14.25" customHeight="1" x14ac:dyDescent="0.4"/>
    <row r="78" ht="14.25" customHeight="1" x14ac:dyDescent="0.4"/>
    <row r="79" ht="14.25" customHeight="1" x14ac:dyDescent="0.4"/>
    <row r="80" ht="14.25" customHeight="1" x14ac:dyDescent="0.4"/>
    <row r="81" ht="14.25" customHeight="1" x14ac:dyDescent="0.4"/>
    <row r="82" ht="14.25" customHeight="1" x14ac:dyDescent="0.4"/>
    <row r="83" ht="14.25" customHeight="1" x14ac:dyDescent="0.4"/>
    <row r="84" ht="14.25" customHeight="1" x14ac:dyDescent="0.4"/>
    <row r="85" ht="14.25" customHeight="1" x14ac:dyDescent="0.4"/>
    <row r="86" ht="14.25" customHeight="1" x14ac:dyDescent="0.4"/>
    <row r="87" ht="14.25" customHeight="1" x14ac:dyDescent="0.4"/>
    <row r="88" ht="14.25" customHeight="1" x14ac:dyDescent="0.4"/>
    <row r="89" ht="14.25" customHeight="1" x14ac:dyDescent="0.4"/>
    <row r="90" ht="14.25" customHeight="1" x14ac:dyDescent="0.4"/>
    <row r="91" ht="14.25" customHeight="1" x14ac:dyDescent="0.4"/>
    <row r="92" ht="14.25" customHeight="1" x14ac:dyDescent="0.4"/>
    <row r="93" ht="14.25" customHeight="1" x14ac:dyDescent="0.4"/>
    <row r="94" ht="14.25" customHeight="1" x14ac:dyDescent="0.4"/>
    <row r="95" ht="14.25" customHeight="1" x14ac:dyDescent="0.4"/>
    <row r="96" ht="14.25" customHeight="1" x14ac:dyDescent="0.4"/>
    <row r="97" ht="14.25" customHeight="1" x14ac:dyDescent="0.4"/>
    <row r="98" ht="14.25" customHeight="1" x14ac:dyDescent="0.4"/>
    <row r="99" ht="14.25" customHeight="1" x14ac:dyDescent="0.4"/>
    <row r="100" ht="14.25" customHeight="1" x14ac:dyDescent="0.4"/>
  </sheetData>
  <mergeCells count="6">
    <mergeCell ref="A1:C1"/>
    <mergeCell ref="A3:F3"/>
    <mergeCell ref="C16:C17"/>
    <mergeCell ref="A6:C6"/>
    <mergeCell ref="A25:C25"/>
    <mergeCell ref="E5:F5"/>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Table of Contents</vt:lpstr>
      <vt:lpstr>Budget First 84 months</vt:lpstr>
      <vt:lpstr>Sukuk Invest. &amp; Secured Notes</vt:lpstr>
      <vt:lpstr>Debt Service Coverage Ratio</vt:lpstr>
      <vt:lpstr>Asset List &amp; Value</vt:lpstr>
      <vt:lpstr>Residual Value after 7 years</vt:lpstr>
      <vt:lpstr>Processing Equipment</vt:lpstr>
      <vt:lpstr>Equipment Diagram &amp; Monitoring</vt:lpstr>
      <vt:lpstr>Hydrogen Calculations</vt:lpstr>
      <vt:lpstr>Gases Calculation</vt:lpstr>
      <vt:lpstr>JV1A Recomplete Wells 1-2 50%WI</vt:lpstr>
      <vt:lpstr> JV 1A Wells 3-5 50%WI</vt:lpstr>
      <vt:lpstr>JV 1B  Wells 95%WI</vt:lpstr>
      <vt:lpstr>JV2 High Creeek Wells 50%W.I.</vt:lpstr>
      <vt:lpstr>JV3 High Creek Wells 100%WI</vt:lpstr>
      <vt:lpstr>1-Well Est. w Decline Rates</vt:lpstr>
      <vt:lpstr>AFE for Wells</vt:lpstr>
      <vt:lpstr>Overahead Exp.</vt:lpstr>
      <vt:lpstr>Field Operations</vt:lpstr>
      <vt:lpstr>DOE Loan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Jack Wright</dc:creator>
  <cp:lastModifiedBy>Jack W</cp:lastModifiedBy>
  <dcterms:created xsi:type="dcterms:W3CDTF">2023-10-16T18:48:20Z</dcterms:created>
  <dcterms:modified xsi:type="dcterms:W3CDTF">2026-06-14T15:38:05Z</dcterms:modified>
</cp:coreProperties>
</file>